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5. фінансові питання\внесення змін до бюджету\"/>
    </mc:Choice>
  </mc:AlternateContent>
  <bookViews>
    <workbookView xWindow="0" yWindow="0" windowWidth="20490" windowHeight="7620" tabRatio="75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(2)'!$A$1:$P$420</definedName>
  </definedNames>
  <calcPr calcId="191029" fullCalcOnLoad="1"/>
</workbook>
</file>

<file path=xl/calcChain.xml><?xml version="1.0" encoding="utf-8"?>
<calcChain xmlns="http://schemas.openxmlformats.org/spreadsheetml/2006/main">
  <c r="G262" i="8" l="1"/>
  <c r="G255" i="8"/>
  <c r="G253" i="8"/>
  <c r="G417" i="8"/>
  <c r="G249" i="8"/>
  <c r="F249" i="8"/>
  <c r="G270" i="8"/>
  <c r="F270" i="8"/>
  <c r="F269" i="8"/>
  <c r="F267" i="8"/>
  <c r="F417" i="8"/>
  <c r="K57" i="8"/>
  <c r="K53" i="8"/>
  <c r="K372" i="8"/>
  <c r="K375" i="8"/>
  <c r="F349" i="8"/>
  <c r="E349" i="8"/>
  <c r="K32" i="8"/>
  <c r="F32" i="8"/>
  <c r="F41" i="8"/>
  <c r="K395" i="8"/>
  <c r="O395" i="8"/>
  <c r="F266" i="8"/>
  <c r="F242" i="8"/>
  <c r="F244" i="8"/>
  <c r="F415" i="8"/>
  <c r="F412" i="8"/>
  <c r="K361" i="8"/>
  <c r="O361" i="8"/>
  <c r="F109" i="8"/>
  <c r="K108" i="8"/>
  <c r="O108" i="8"/>
  <c r="F115" i="8"/>
  <c r="E115" i="8"/>
  <c r="E242" i="8"/>
  <c r="P242" i="8"/>
  <c r="G278" i="8"/>
  <c r="F278" i="8"/>
  <c r="F265" i="8"/>
  <c r="F263" i="8"/>
  <c r="F262" i="8"/>
  <c r="F260" i="8"/>
  <c r="F53" i="8"/>
  <c r="G265" i="8"/>
  <c r="E265" i="8"/>
  <c r="P265" i="8"/>
  <c r="H263" i="8"/>
  <c r="G263" i="8"/>
  <c r="H260" i="8"/>
  <c r="G260" i="8"/>
  <c r="H257" i="8"/>
  <c r="F257" i="8"/>
  <c r="F255" i="8"/>
  <c r="F253" i="8"/>
  <c r="G256" i="8"/>
  <c r="H83" i="8"/>
  <c r="F83" i="8"/>
  <c r="E83" i="8"/>
  <c r="P83" i="8"/>
  <c r="H53" i="8"/>
  <c r="K109" i="8"/>
  <c r="F345" i="8"/>
  <c r="K368" i="8"/>
  <c r="F159" i="8"/>
  <c r="K34" i="8"/>
  <c r="F34" i="8"/>
  <c r="F377" i="8"/>
  <c r="K374" i="8"/>
  <c r="K373" i="8"/>
  <c r="P103" i="8"/>
  <c r="O103" i="8"/>
  <c r="K103" i="8"/>
  <c r="O109" i="8"/>
  <c r="J109" i="8"/>
  <c r="K369" i="8"/>
  <c r="O369" i="8"/>
  <c r="K353" i="8"/>
  <c r="K399" i="8"/>
  <c r="O375" i="8"/>
  <c r="K51" i="8"/>
  <c r="K42" i="8"/>
  <c r="K77" i="8"/>
  <c r="H57" i="8"/>
  <c r="F57" i="8"/>
  <c r="F86" i="8"/>
  <c r="G90" i="8"/>
  <c r="G76" i="8"/>
  <c r="G79" i="8"/>
  <c r="F79" i="8"/>
  <c r="G57" i="8"/>
  <c r="E57" i="8"/>
  <c r="G53" i="8"/>
  <c r="O90" i="8"/>
  <c r="K90" i="8"/>
  <c r="F90" i="8"/>
  <c r="K76" i="8"/>
  <c r="F76" i="8"/>
  <c r="K412" i="8"/>
  <c r="O412" i="8"/>
  <c r="F379" i="8"/>
  <c r="F126" i="8"/>
  <c r="F143" i="8"/>
  <c r="K416" i="8"/>
  <c r="F416" i="8"/>
  <c r="E416" i="8"/>
  <c r="E53" i="8"/>
  <c r="E414" i="8"/>
  <c r="K387" i="8"/>
  <c r="K352" i="8"/>
  <c r="O352" i="8"/>
  <c r="F413" i="8"/>
  <c r="K153" i="8"/>
  <c r="O153" i="8"/>
  <c r="K115" i="8"/>
  <c r="O31" i="8"/>
  <c r="L31" i="8"/>
  <c r="F158" i="8"/>
  <c r="F156" i="8"/>
  <c r="E75" i="8"/>
  <c r="P75" i="8"/>
  <c r="E74" i="8"/>
  <c r="J74" i="8"/>
  <c r="J75" i="8"/>
  <c r="O71" i="8"/>
  <c r="O72" i="8"/>
  <c r="O73" i="8"/>
  <c r="O74" i="8"/>
  <c r="O75" i="8"/>
  <c r="P74" i="8"/>
  <c r="G94" i="8"/>
  <c r="K256" i="8"/>
  <c r="F256" i="8"/>
  <c r="H108" i="8"/>
  <c r="F108" i="8"/>
  <c r="K349" i="8"/>
  <c r="H349" i="8"/>
  <c r="F259" i="8"/>
  <c r="F112" i="8"/>
  <c r="H77" i="8"/>
  <c r="F77" i="8"/>
  <c r="H262" i="8"/>
  <c r="E260" i="8"/>
  <c r="H278" i="8"/>
  <c r="E278" i="8"/>
  <c r="H409" i="8"/>
  <c r="H408" i="8"/>
  <c r="H407" i="8"/>
  <c r="F409" i="8"/>
  <c r="H249" i="8"/>
  <c r="H17" i="8"/>
  <c r="H16" i="8"/>
  <c r="H14" i="8"/>
  <c r="F17" i="8"/>
  <c r="E17" i="8"/>
  <c r="E413" i="8"/>
  <c r="P413" i="8"/>
  <c r="F406" i="8"/>
  <c r="E406" i="8"/>
  <c r="E404" i="8"/>
  <c r="K324" i="8"/>
  <c r="O371" i="8"/>
  <c r="J371" i="8"/>
  <c r="P371" i="8"/>
  <c r="K330" i="8"/>
  <c r="O331" i="8"/>
  <c r="J331" i="8"/>
  <c r="P331" i="8"/>
  <c r="O332" i="8"/>
  <c r="O333" i="8"/>
  <c r="J332" i="8"/>
  <c r="J333" i="8"/>
  <c r="P333" i="8"/>
  <c r="J324" i="8"/>
  <c r="P324" i="8"/>
  <c r="O329" i="8"/>
  <c r="J329" i="8"/>
  <c r="P329" i="8"/>
  <c r="O281" i="8"/>
  <c r="O268" i="8"/>
  <c r="K278" i="8"/>
  <c r="K268" i="8"/>
  <c r="L268" i="8"/>
  <c r="M268" i="8"/>
  <c r="N268" i="8"/>
  <c r="K415" i="8"/>
  <c r="O415" i="8"/>
  <c r="J415" i="8"/>
  <c r="K376" i="8"/>
  <c r="K265" i="8"/>
  <c r="K263" i="8"/>
  <c r="O263" i="8"/>
  <c r="J263" i="8"/>
  <c r="O256" i="8"/>
  <c r="J256" i="8"/>
  <c r="O76" i="8"/>
  <c r="J76" i="8"/>
  <c r="K379" i="8"/>
  <c r="O379" i="8"/>
  <c r="J379" i="8"/>
  <c r="E32" i="8"/>
  <c r="O77" i="8"/>
  <c r="O353" i="8"/>
  <c r="K347" i="8"/>
  <c r="K344" i="8"/>
  <c r="O344" i="8"/>
  <c r="J344" i="8"/>
  <c r="P344" i="8"/>
  <c r="F408" i="8"/>
  <c r="F407" i="8"/>
  <c r="H159" i="8"/>
  <c r="E159" i="8"/>
  <c r="P159" i="8"/>
  <c r="E262" i="8"/>
  <c r="P262" i="8"/>
  <c r="H412" i="8"/>
  <c r="H411" i="8"/>
  <c r="H410" i="8"/>
  <c r="E412" i="8"/>
  <c r="K244" i="8"/>
  <c r="F180" i="8"/>
  <c r="E180" i="8"/>
  <c r="E244" i="8"/>
  <c r="F177" i="8"/>
  <c r="E177" i="8"/>
  <c r="J90" i="8"/>
  <c r="E90" i="8"/>
  <c r="K126" i="8"/>
  <c r="O126" i="8"/>
  <c r="J126" i="8"/>
  <c r="F144" i="8"/>
  <c r="E144" i="8"/>
  <c r="E143" i="8"/>
  <c r="O221" i="8"/>
  <c r="O222" i="8"/>
  <c r="J222" i="8"/>
  <c r="O223" i="8"/>
  <c r="J223" i="8"/>
  <c r="O224" i="8"/>
  <c r="J224" i="8"/>
  <c r="O225" i="8"/>
  <c r="J225" i="8"/>
  <c r="O226" i="8"/>
  <c r="J226" i="8"/>
  <c r="P226" i="8"/>
  <c r="E221" i="8"/>
  <c r="E223" i="8"/>
  <c r="E224" i="8"/>
  <c r="E225" i="8"/>
  <c r="K242" i="8"/>
  <c r="O242" i="8"/>
  <c r="J242" i="8"/>
  <c r="G285" i="8"/>
  <c r="G284" i="8"/>
  <c r="F285" i="8"/>
  <c r="E285" i="8"/>
  <c r="F284" i="8"/>
  <c r="E284" i="8"/>
  <c r="G77" i="8"/>
  <c r="O336" i="8"/>
  <c r="J336" i="8"/>
  <c r="P336" i="8"/>
  <c r="O335" i="8"/>
  <c r="K320" i="8"/>
  <c r="O373" i="8"/>
  <c r="J373" i="8"/>
  <c r="K386" i="8"/>
  <c r="O386" i="8"/>
  <c r="J386" i="8"/>
  <c r="P386" i="8"/>
  <c r="K346" i="8"/>
  <c r="O346" i="8"/>
  <c r="J346" i="8"/>
  <c r="P346" i="8"/>
  <c r="K394" i="8"/>
  <c r="O394" i="8"/>
  <c r="G257" i="8"/>
  <c r="F229" i="8"/>
  <c r="F227" i="8"/>
  <c r="E227" i="8"/>
  <c r="E109" i="8"/>
  <c r="F25" i="8"/>
  <c r="E25" i="8"/>
  <c r="K17" i="8"/>
  <c r="O17" i="8"/>
  <c r="J17" i="8"/>
  <c r="L320" i="8"/>
  <c r="M320" i="8"/>
  <c r="N320" i="8"/>
  <c r="O354" i="8"/>
  <c r="J354" i="8"/>
  <c r="P354" i="8"/>
  <c r="K355" i="8"/>
  <c r="O355" i="8"/>
  <c r="J355" i="8"/>
  <c r="P355" i="8"/>
  <c r="E86" i="8"/>
  <c r="F320" i="8"/>
  <c r="E345" i="8"/>
  <c r="P345" i="8"/>
  <c r="F351" i="8"/>
  <c r="O401" i="8"/>
  <c r="J401" i="8"/>
  <c r="O402" i="8"/>
  <c r="J402" i="8"/>
  <c r="P402" i="8"/>
  <c r="O403" i="8"/>
  <c r="J403" i="8"/>
  <c r="P403" i="8"/>
  <c r="P405" i="8"/>
  <c r="E350" i="8"/>
  <c r="E320" i="8"/>
  <c r="K319" i="8"/>
  <c r="O387" i="8"/>
  <c r="J387" i="8"/>
  <c r="F251" i="8"/>
  <c r="F88" i="8"/>
  <c r="E88" i="8"/>
  <c r="P88" i="8"/>
  <c r="G88" i="8"/>
  <c r="O350" i="8"/>
  <c r="J350" i="8"/>
  <c r="J319" i="8"/>
  <c r="L319" i="8"/>
  <c r="M319" i="8"/>
  <c r="N319" i="8"/>
  <c r="G17" i="8"/>
  <c r="G16" i="8"/>
  <c r="G14" i="8"/>
  <c r="O59" i="8"/>
  <c r="J59" i="8"/>
  <c r="E59" i="8"/>
  <c r="O239" i="8"/>
  <c r="J239" i="8"/>
  <c r="E239" i="8"/>
  <c r="O238" i="8"/>
  <c r="J238" i="8"/>
  <c r="E238" i="8"/>
  <c r="E112" i="8"/>
  <c r="F102" i="8"/>
  <c r="E126" i="8"/>
  <c r="G394" i="8"/>
  <c r="G393" i="8"/>
  <c r="G391" i="8"/>
  <c r="E415" i="8"/>
  <c r="P415" i="8"/>
  <c r="P411" i="8"/>
  <c r="G409" i="8"/>
  <c r="G408" i="8"/>
  <c r="G407" i="8"/>
  <c r="F394" i="8"/>
  <c r="E394" i="8"/>
  <c r="E256" i="8"/>
  <c r="P256" i="8"/>
  <c r="G248" i="8"/>
  <c r="G247" i="8"/>
  <c r="G108" i="8"/>
  <c r="G107" i="8"/>
  <c r="G98" i="8"/>
  <c r="H220" i="8"/>
  <c r="G220" i="8"/>
  <c r="F220" i="8"/>
  <c r="E220" i="8"/>
  <c r="H217" i="8"/>
  <c r="G217" i="8"/>
  <c r="F217" i="8"/>
  <c r="E217" i="8"/>
  <c r="O349" i="8"/>
  <c r="J349" i="8"/>
  <c r="G96" i="8"/>
  <c r="F96" i="8"/>
  <c r="E96" i="8"/>
  <c r="O416" i="8"/>
  <c r="J416" i="8"/>
  <c r="O406" i="8"/>
  <c r="J406" i="8"/>
  <c r="K157" i="8"/>
  <c r="L157" i="8"/>
  <c r="M157" i="8"/>
  <c r="N157" i="8"/>
  <c r="J157" i="8"/>
  <c r="O243" i="8"/>
  <c r="O157" i="8"/>
  <c r="K323" i="8"/>
  <c r="L323" i="8"/>
  <c r="M323" i="8"/>
  <c r="N323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K337" i="8"/>
  <c r="O337" i="8"/>
  <c r="J337" i="8"/>
  <c r="M51" i="8"/>
  <c r="M42" i="8"/>
  <c r="N51" i="8"/>
  <c r="N42" i="8"/>
  <c r="F52" i="8"/>
  <c r="E52" i="8"/>
  <c r="H327" i="8"/>
  <c r="H326" i="8"/>
  <c r="H316" i="8"/>
  <c r="F327" i="8"/>
  <c r="E263" i="8"/>
  <c r="K334" i="8"/>
  <c r="O334" i="8"/>
  <c r="J334" i="8"/>
  <c r="K339" i="8"/>
  <c r="O339" i="8"/>
  <c r="J339" i="8"/>
  <c r="L326" i="8"/>
  <c r="L316" i="8"/>
  <c r="M326" i="8"/>
  <c r="M316" i="8"/>
  <c r="N326" i="8"/>
  <c r="N316" i="8"/>
  <c r="K277" i="8"/>
  <c r="O277" i="8"/>
  <c r="F390" i="8"/>
  <c r="E390" i="8"/>
  <c r="E41" i="8"/>
  <c r="O289" i="8"/>
  <c r="O288" i="8"/>
  <c r="O286" i="8"/>
  <c r="K327" i="8"/>
  <c r="O327" i="8"/>
  <c r="J327" i="8"/>
  <c r="G327" i="8"/>
  <c r="G326" i="8"/>
  <c r="G316" i="8"/>
  <c r="G159" i="8"/>
  <c r="F276" i="8"/>
  <c r="E276" i="8"/>
  <c r="K360" i="8"/>
  <c r="O360" i="8"/>
  <c r="J360" i="8"/>
  <c r="F27" i="8"/>
  <c r="E27" i="8"/>
  <c r="O325" i="8"/>
  <c r="K325" i="8"/>
  <c r="O251" i="8"/>
  <c r="J31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85" i="8"/>
  <c r="O285" i="8"/>
  <c r="J285" i="8"/>
  <c r="O388" i="8"/>
  <c r="J388" i="8"/>
  <c r="P388" i="8"/>
  <c r="J390" i="8"/>
  <c r="J389" i="8"/>
  <c r="P389" i="8"/>
  <c r="O15" i="8"/>
  <c r="J38" i="8"/>
  <c r="P38" i="8"/>
  <c r="O37" i="8"/>
  <c r="O36" i="8"/>
  <c r="J36" i="8"/>
  <c r="P36" i="8"/>
  <c r="I326" i="8"/>
  <c r="K288" i="8"/>
  <c r="K286" i="8"/>
  <c r="G282" i="8"/>
  <c r="F282" i="8"/>
  <c r="E282" i="8"/>
  <c r="E280" i="8"/>
  <c r="G288" i="8"/>
  <c r="G286" i="8"/>
  <c r="E289" i="8"/>
  <c r="O300" i="8"/>
  <c r="J300" i="8"/>
  <c r="O121" i="8"/>
  <c r="J121" i="8"/>
  <c r="O125" i="8"/>
  <c r="J125" i="8"/>
  <c r="O133" i="8"/>
  <c r="J133" i="8"/>
  <c r="O142" i="8"/>
  <c r="J142" i="8"/>
  <c r="O149" i="8"/>
  <c r="J149" i="8"/>
  <c r="L39" i="8"/>
  <c r="J39" i="8"/>
  <c r="E121" i="8"/>
  <c r="E125" i="8"/>
  <c r="E133" i="8"/>
  <c r="E142" i="8"/>
  <c r="E148" i="8"/>
  <c r="E151" i="8"/>
  <c r="P151" i="8"/>
  <c r="H282" i="8"/>
  <c r="K282" i="8"/>
  <c r="O282" i="8"/>
  <c r="J282" i="8"/>
  <c r="E250" i="8"/>
  <c r="O372" i="8"/>
  <c r="J372" i="8"/>
  <c r="E300" i="8"/>
  <c r="O265" i="8"/>
  <c r="J265" i="8"/>
  <c r="J71" i="8"/>
  <c r="J72" i="8"/>
  <c r="J73" i="8"/>
  <c r="E76" i="8"/>
  <c r="L37" i="8"/>
  <c r="O328" i="8"/>
  <c r="J328" i="8"/>
  <c r="I408" i="8"/>
  <c r="I407" i="8"/>
  <c r="K408" i="8"/>
  <c r="K407" i="8"/>
  <c r="L408" i="8"/>
  <c r="L407" i="8"/>
  <c r="M408" i="8"/>
  <c r="M407" i="8"/>
  <c r="N408" i="8"/>
  <c r="N407" i="8"/>
  <c r="O409" i="8"/>
  <c r="O408" i="8"/>
  <c r="O407" i="8"/>
  <c r="E84" i="8"/>
  <c r="E85" i="8"/>
  <c r="O85" i="8"/>
  <c r="J85" i="8"/>
  <c r="E87" i="8"/>
  <c r="O87" i="8"/>
  <c r="J87" i="8"/>
  <c r="E61" i="8"/>
  <c r="E62" i="8"/>
  <c r="E63" i="8"/>
  <c r="E64" i="8"/>
  <c r="E65" i="8"/>
  <c r="E66" i="8"/>
  <c r="E69" i="8"/>
  <c r="P69" i="8"/>
  <c r="E70" i="8"/>
  <c r="E71" i="8"/>
  <c r="E72" i="8"/>
  <c r="E78" i="8"/>
  <c r="E79" i="8"/>
  <c r="E80" i="8"/>
  <c r="E81" i="8"/>
  <c r="E82" i="8"/>
  <c r="E89" i="8"/>
  <c r="E91" i="8"/>
  <c r="E94" i="8"/>
  <c r="E58" i="8"/>
  <c r="I51" i="8"/>
  <c r="K95" i="8"/>
  <c r="J95" i="8"/>
  <c r="J49" i="8"/>
  <c r="G95" i="8"/>
  <c r="G49" i="8"/>
  <c r="F95" i="8"/>
  <c r="F49" i="8"/>
  <c r="J94" i="8"/>
  <c r="G47" i="8"/>
  <c r="F47" i="8"/>
  <c r="E47" i="8"/>
  <c r="P47" i="8"/>
  <c r="G60" i="8"/>
  <c r="F60" i="8"/>
  <c r="E60" i="8"/>
  <c r="H45" i="8"/>
  <c r="F45" i="8"/>
  <c r="F73" i="8"/>
  <c r="E73" i="8"/>
  <c r="G73" i="8"/>
  <c r="G69" i="8"/>
  <c r="O143" i="8"/>
  <c r="J143" i="8"/>
  <c r="L77" i="8"/>
  <c r="H248" i="8"/>
  <c r="H247" i="8"/>
  <c r="F68" i="8"/>
  <c r="E68" i="8"/>
  <c r="L107" i="8"/>
  <c r="L98" i="8"/>
  <c r="M158" i="8"/>
  <c r="M156" i="8"/>
  <c r="N158" i="8"/>
  <c r="N156" i="8"/>
  <c r="L158" i="8"/>
  <c r="L156" i="8"/>
  <c r="E34" i="8"/>
  <c r="F274" i="8"/>
  <c r="E274" i="8"/>
  <c r="F273" i="8"/>
  <c r="E273" i="8"/>
  <c r="O347" i="8"/>
  <c r="J347" i="8"/>
  <c r="P347" i="8"/>
  <c r="J383" i="8"/>
  <c r="O260" i="8"/>
  <c r="E21" i="8"/>
  <c r="E23" i="8"/>
  <c r="E24" i="8"/>
  <c r="P24" i="8"/>
  <c r="J378" i="8"/>
  <c r="P378" i="8"/>
  <c r="K45" i="8"/>
  <c r="O45" i="8"/>
  <c r="J45" i="8"/>
  <c r="E147" i="8"/>
  <c r="P147" i="8"/>
  <c r="E149" i="8"/>
  <c r="E150" i="8"/>
  <c r="E152" i="8"/>
  <c r="P152" i="8"/>
  <c r="F103" i="8"/>
  <c r="E136" i="8"/>
  <c r="P136" i="8"/>
  <c r="O279" i="8"/>
  <c r="J279" i="8"/>
  <c r="P279" i="8"/>
  <c r="O114" i="8"/>
  <c r="O104" i="8"/>
  <c r="K104" i="8"/>
  <c r="K44" i="8"/>
  <c r="O44" i="8"/>
  <c r="O306" i="8"/>
  <c r="J306" i="8"/>
  <c r="P306" i="8"/>
  <c r="E137" i="8"/>
  <c r="P137" i="8"/>
  <c r="F104" i="8"/>
  <c r="O56" i="8"/>
  <c r="J56" i="8"/>
  <c r="E56" i="8"/>
  <c r="O385" i="8"/>
  <c r="J385" i="8"/>
  <c r="P385" i="8"/>
  <c r="O414" i="8"/>
  <c r="J414" i="8"/>
  <c r="N411" i="8"/>
  <c r="N410" i="8"/>
  <c r="M411" i="8"/>
  <c r="M410" i="8"/>
  <c r="L411" i="8"/>
  <c r="L410" i="8"/>
  <c r="I411" i="8"/>
  <c r="I410" i="8"/>
  <c r="G411" i="8"/>
  <c r="G410" i="8"/>
  <c r="N404" i="8"/>
  <c r="M404" i="8"/>
  <c r="M400" i="8"/>
  <c r="L404" i="8"/>
  <c r="K404" i="8"/>
  <c r="O404" i="8"/>
  <c r="K400" i="8"/>
  <c r="O400" i="8"/>
  <c r="I404" i="8"/>
  <c r="I393" i="8"/>
  <c r="I391" i="8"/>
  <c r="H404" i="8"/>
  <c r="H393" i="8"/>
  <c r="H391" i="8"/>
  <c r="E401" i="8"/>
  <c r="N400" i="8"/>
  <c r="L400" i="8"/>
  <c r="I400" i="8"/>
  <c r="E400" i="8"/>
  <c r="H400" i="8"/>
  <c r="O399" i="8"/>
  <c r="J399" i="8"/>
  <c r="E399" i="8"/>
  <c r="O398" i="8"/>
  <c r="J398" i="8"/>
  <c r="O397" i="8"/>
  <c r="J397" i="8"/>
  <c r="E397" i="8"/>
  <c r="O396" i="8"/>
  <c r="J396" i="8"/>
  <c r="E396" i="8"/>
  <c r="K392" i="8"/>
  <c r="O392" i="8"/>
  <c r="J384" i="8"/>
  <c r="E384" i="8"/>
  <c r="E383" i="8"/>
  <c r="J382" i="8"/>
  <c r="E382" i="8"/>
  <c r="O381" i="8"/>
  <c r="J381" i="8"/>
  <c r="E381" i="8"/>
  <c r="O380" i="8"/>
  <c r="J380" i="8"/>
  <c r="E380" i="8"/>
  <c r="O377" i="8"/>
  <c r="J377" i="8"/>
  <c r="E377" i="8"/>
  <c r="O376" i="8"/>
  <c r="O321" i="8"/>
  <c r="E375" i="8"/>
  <c r="E374" i="8"/>
  <c r="E373" i="8"/>
  <c r="E372" i="8"/>
  <c r="O370" i="8"/>
  <c r="J370" i="8"/>
  <c r="E370" i="8"/>
  <c r="P370" i="8"/>
  <c r="E369" i="8"/>
  <c r="O368" i="8"/>
  <c r="J368" i="8"/>
  <c r="O323" i="8"/>
  <c r="O367" i="8"/>
  <c r="J367" i="8"/>
  <c r="E367" i="8"/>
  <c r="E366" i="8"/>
  <c r="O365" i="8"/>
  <c r="J365" i="8"/>
  <c r="E365" i="8"/>
  <c r="N364" i="8"/>
  <c r="M364" i="8"/>
  <c r="M340" i="8"/>
  <c r="M362" i="8"/>
  <c r="M356" i="8"/>
  <c r="L364" i="8"/>
  <c r="I364" i="8"/>
  <c r="H364" i="8"/>
  <c r="G364" i="8"/>
  <c r="F364" i="8"/>
  <c r="O363" i="8"/>
  <c r="O362" i="8"/>
  <c r="J362" i="8"/>
  <c r="E363" i="8"/>
  <c r="E362" i="8"/>
  <c r="N362" i="8"/>
  <c r="L362" i="8"/>
  <c r="I362" i="8"/>
  <c r="H362" i="8"/>
  <c r="G362" i="8"/>
  <c r="F362" i="8"/>
  <c r="E361" i="8"/>
  <c r="E360" i="8"/>
  <c r="O359" i="8"/>
  <c r="J359" i="8"/>
  <c r="E359" i="8"/>
  <c r="O358" i="8"/>
  <c r="J358" i="8"/>
  <c r="P358" i="8"/>
  <c r="O357" i="8"/>
  <c r="O318" i="8"/>
  <c r="O356" i="8"/>
  <c r="N356" i="8"/>
  <c r="L356" i="8"/>
  <c r="E356" i="8"/>
  <c r="E353" i="8"/>
  <c r="O351" i="8"/>
  <c r="J351" i="8"/>
  <c r="L340" i="8"/>
  <c r="O340" i="8"/>
  <c r="O342" i="8"/>
  <c r="J342" i="8"/>
  <c r="O343" i="8"/>
  <c r="J343" i="8"/>
  <c r="P343" i="8"/>
  <c r="E342" i="8"/>
  <c r="O341" i="8"/>
  <c r="J341" i="8"/>
  <c r="E341" i="8"/>
  <c r="N340" i="8"/>
  <c r="I340" i="8"/>
  <c r="H340" i="8"/>
  <c r="G340" i="8"/>
  <c r="F340" i="8"/>
  <c r="E339" i="8"/>
  <c r="O338" i="8"/>
  <c r="J338" i="8"/>
  <c r="P338" i="8"/>
  <c r="E337" i="8"/>
  <c r="E334" i="8"/>
  <c r="E332" i="8"/>
  <c r="E330" i="8"/>
  <c r="E328" i="8"/>
  <c r="K245" i="8"/>
  <c r="O235" i="8"/>
  <c r="J235" i="8"/>
  <c r="K248" i="8"/>
  <c r="K247" i="8"/>
  <c r="K272" i="8"/>
  <c r="O272" i="8"/>
  <c r="K275" i="8"/>
  <c r="O275" i="8"/>
  <c r="E325" i="8"/>
  <c r="N321" i="8"/>
  <c r="M321" i="8"/>
  <c r="L321" i="8"/>
  <c r="K321" i="8"/>
  <c r="N318" i="8"/>
  <c r="M318" i="8"/>
  <c r="L318" i="8"/>
  <c r="K318" i="8"/>
  <c r="K317" i="8"/>
  <c r="O317" i="8"/>
  <c r="J317" i="8"/>
  <c r="P317" i="8"/>
  <c r="J315" i="8"/>
  <c r="E315" i="8"/>
  <c r="J314" i="8"/>
  <c r="E314" i="8"/>
  <c r="E387" i="8"/>
  <c r="O313" i="8"/>
  <c r="J313" i="8"/>
  <c r="P313" i="8"/>
  <c r="O312" i="8"/>
  <c r="J312" i="8"/>
  <c r="P312" i="8"/>
  <c r="O311" i="8"/>
  <c r="J311" i="8"/>
  <c r="E311" i="8"/>
  <c r="E310" i="8"/>
  <c r="P310" i="8"/>
  <c r="O309" i="8"/>
  <c r="J309" i="8"/>
  <c r="E309" i="8"/>
  <c r="O308" i="8"/>
  <c r="J308" i="8"/>
  <c r="O307" i="8"/>
  <c r="J307" i="8"/>
  <c r="O290" i="8"/>
  <c r="J290" i="8"/>
  <c r="O291" i="8"/>
  <c r="J291" i="8"/>
  <c r="O301" i="8"/>
  <c r="J301" i="8"/>
  <c r="O297" i="8"/>
  <c r="J297" i="8"/>
  <c r="O304" i="8"/>
  <c r="J304" i="8"/>
  <c r="O303" i="8"/>
  <c r="J303" i="8"/>
  <c r="O299" i="8"/>
  <c r="J299" i="8"/>
  <c r="O292" i="8"/>
  <c r="J292" i="8"/>
  <c r="N307" i="8"/>
  <c r="I307" i="8"/>
  <c r="E307" i="8"/>
  <c r="E352" i="8"/>
  <c r="O305" i="8"/>
  <c r="J305" i="8"/>
  <c r="E305" i="8"/>
  <c r="N304" i="8"/>
  <c r="I304" i="8"/>
  <c r="E304" i="8"/>
  <c r="E303" i="8"/>
  <c r="E302" i="8"/>
  <c r="P302" i="8"/>
  <c r="E301" i="8"/>
  <c r="E299" i="8"/>
  <c r="O298" i="8"/>
  <c r="J298" i="8"/>
  <c r="E298" i="8"/>
  <c r="E297" i="8"/>
  <c r="E347" i="8"/>
  <c r="O296" i="8"/>
  <c r="J296" i="8"/>
  <c r="E296" i="8"/>
  <c r="O295" i="8"/>
  <c r="J295" i="8"/>
  <c r="E295" i="8"/>
  <c r="O294" i="8"/>
  <c r="J294" i="8"/>
  <c r="E294" i="8"/>
  <c r="O293" i="8"/>
  <c r="J293" i="8"/>
  <c r="P293" i="8"/>
  <c r="E292" i="8"/>
  <c r="N291" i="8"/>
  <c r="M288" i="8"/>
  <c r="M286" i="8"/>
  <c r="L288" i="8"/>
  <c r="L286" i="8"/>
  <c r="I291" i="8"/>
  <c r="E291" i="8"/>
  <c r="E290" i="8"/>
  <c r="H288" i="8"/>
  <c r="H286" i="8"/>
  <c r="K287" i="8"/>
  <c r="J287" i="8"/>
  <c r="F287" i="8"/>
  <c r="E287" i="8"/>
  <c r="O284" i="8"/>
  <c r="I283" i="8"/>
  <c r="O280" i="8"/>
  <c r="J280" i="8"/>
  <c r="I280" i="8"/>
  <c r="N277" i="8"/>
  <c r="M277" i="8"/>
  <c r="M272" i="8"/>
  <c r="M275" i="8"/>
  <c r="L277" i="8"/>
  <c r="I277" i="8"/>
  <c r="E277" i="8"/>
  <c r="O276" i="8"/>
  <c r="J276" i="8"/>
  <c r="N275" i="8"/>
  <c r="L275" i="8"/>
  <c r="I275" i="8"/>
  <c r="E275" i="8"/>
  <c r="O274" i="8"/>
  <c r="J274" i="8"/>
  <c r="O273" i="8"/>
  <c r="J273" i="8"/>
  <c r="N272" i="8"/>
  <c r="L272" i="8"/>
  <c r="I272" i="8"/>
  <c r="E272" i="8"/>
  <c r="O259" i="8"/>
  <c r="J259" i="8"/>
  <c r="E259" i="8"/>
  <c r="O271" i="8"/>
  <c r="J271" i="8"/>
  <c r="E271" i="8"/>
  <c r="O270" i="8"/>
  <c r="J270" i="8"/>
  <c r="I269" i="8"/>
  <c r="I267" i="8"/>
  <c r="O266" i="8"/>
  <c r="J266" i="8"/>
  <c r="E266" i="8"/>
  <c r="O264" i="8"/>
  <c r="J264" i="8"/>
  <c r="I264" i="8"/>
  <c r="I255" i="8"/>
  <c r="I253" i="8"/>
  <c r="O262" i="8"/>
  <c r="J262" i="8"/>
  <c r="O258" i="8"/>
  <c r="O254" i="8"/>
  <c r="O257" i="8"/>
  <c r="J257" i="8"/>
  <c r="N255" i="8"/>
  <c r="N253" i="8"/>
  <c r="M255" i="8"/>
  <c r="M253" i="8"/>
  <c r="L255" i="8"/>
  <c r="L253" i="8"/>
  <c r="N254" i="8"/>
  <c r="M254" i="8"/>
  <c r="L254" i="8"/>
  <c r="K254" i="8"/>
  <c r="E252" i="8"/>
  <c r="P252" i="8"/>
  <c r="N251" i="8"/>
  <c r="N248" i="8"/>
  <c r="N247" i="8"/>
  <c r="N133" i="8"/>
  <c r="N148" i="8"/>
  <c r="M251" i="8"/>
  <c r="M248" i="8"/>
  <c r="M247" i="8"/>
  <c r="M107" i="8"/>
  <c r="M98" i="8"/>
  <c r="L251" i="8"/>
  <c r="I251" i="8"/>
  <c r="I248" i="8"/>
  <c r="I247" i="8"/>
  <c r="I107" i="8"/>
  <c r="I98" i="8"/>
  <c r="O250" i="8"/>
  <c r="O249" i="8"/>
  <c r="J249" i="8"/>
  <c r="J246" i="8"/>
  <c r="J245" i="8"/>
  <c r="E246" i="8"/>
  <c r="E245" i="8"/>
  <c r="O245" i="8"/>
  <c r="N245" i="8"/>
  <c r="M245" i="8"/>
  <c r="L245" i="8"/>
  <c r="I245" i="8"/>
  <c r="E243" i="8"/>
  <c r="P243" i="8"/>
  <c r="O244" i="8"/>
  <c r="E241" i="8"/>
  <c r="P241" i="8"/>
  <c r="E240" i="8"/>
  <c r="P240" i="8"/>
  <c r="O237" i="8"/>
  <c r="J237" i="8"/>
  <c r="E237" i="8"/>
  <c r="E236" i="8"/>
  <c r="E235" i="8"/>
  <c r="J234" i="8"/>
  <c r="E234" i="8"/>
  <c r="J233" i="8"/>
  <c r="E233" i="8"/>
  <c r="O232" i="8"/>
  <c r="O231" i="8"/>
  <c r="E232" i="8"/>
  <c r="E231" i="8"/>
  <c r="I231" i="8"/>
  <c r="J230" i="8"/>
  <c r="E230" i="8"/>
  <c r="O229" i="8"/>
  <c r="J229" i="8"/>
  <c r="I229" i="8"/>
  <c r="I158" i="8"/>
  <c r="I156" i="8"/>
  <c r="P228" i="8"/>
  <c r="J227" i="8"/>
  <c r="I222" i="8"/>
  <c r="E222" i="8"/>
  <c r="P222" i="8"/>
  <c r="O220" i="8"/>
  <c r="J220" i="8"/>
  <c r="E219" i="8"/>
  <c r="O218" i="8"/>
  <c r="J218" i="8"/>
  <c r="E218" i="8"/>
  <c r="O217" i="8"/>
  <c r="J217" i="8"/>
  <c r="E216" i="8"/>
  <c r="P216" i="8"/>
  <c r="E215" i="8"/>
  <c r="P215" i="8"/>
  <c r="I214" i="8"/>
  <c r="E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3" i="8"/>
  <c r="P203" i="8"/>
  <c r="E202" i="8"/>
  <c r="P202" i="8"/>
  <c r="J201" i="8"/>
  <c r="E201" i="8"/>
  <c r="J200" i="8"/>
  <c r="J199" i="8"/>
  <c r="E199" i="8"/>
  <c r="J198" i="8"/>
  <c r="J197" i="8"/>
  <c r="E197" i="8"/>
  <c r="J196" i="8"/>
  <c r="E196" i="8"/>
  <c r="J195" i="8"/>
  <c r="E195" i="8"/>
  <c r="J194" i="8"/>
  <c r="E194" i="8"/>
  <c r="J193" i="8"/>
  <c r="E193" i="8"/>
  <c r="J192" i="8"/>
  <c r="E192" i="8"/>
  <c r="J191" i="8"/>
  <c r="E191" i="8"/>
  <c r="J190" i="8"/>
  <c r="E190" i="8"/>
  <c r="J189" i="8"/>
  <c r="E189" i="8"/>
  <c r="J188" i="8"/>
  <c r="E188" i="8"/>
  <c r="J187" i="8"/>
  <c r="E187" i="8"/>
  <c r="J186" i="8"/>
  <c r="E186" i="8"/>
  <c r="J185" i="8"/>
  <c r="E185" i="8"/>
  <c r="J184" i="8"/>
  <c r="E184" i="8"/>
  <c r="J183" i="8"/>
  <c r="E183" i="8"/>
  <c r="J182" i="8"/>
  <c r="E182" i="8"/>
  <c r="O181" i="8"/>
  <c r="J181" i="8"/>
  <c r="I181" i="8"/>
  <c r="E181" i="8"/>
  <c r="J180" i="8"/>
  <c r="J179" i="8"/>
  <c r="E179" i="8"/>
  <c r="J178" i="8"/>
  <c r="E178" i="8"/>
  <c r="J177" i="8"/>
  <c r="O176" i="8"/>
  <c r="I176" i="8"/>
  <c r="O175" i="8"/>
  <c r="J175" i="8"/>
  <c r="I175" i="8"/>
  <c r="E175" i="8"/>
  <c r="J174" i="8"/>
  <c r="E174" i="8"/>
  <c r="J173" i="8"/>
  <c r="P173" i="8"/>
  <c r="E173" i="8"/>
  <c r="J172" i="8"/>
  <c r="E172" i="8"/>
  <c r="J171" i="8"/>
  <c r="E171" i="8"/>
  <c r="J170" i="8"/>
  <c r="E170" i="8"/>
  <c r="J169" i="8"/>
  <c r="E169" i="8"/>
  <c r="J168" i="8"/>
  <c r="E168" i="8"/>
  <c r="O167" i="8"/>
  <c r="J167" i="8"/>
  <c r="I167" i="8"/>
  <c r="E167" i="8"/>
  <c r="J166" i="8"/>
  <c r="E166" i="8"/>
  <c r="J165" i="8"/>
  <c r="E165" i="8"/>
  <c r="J164" i="8"/>
  <c r="E164" i="8"/>
  <c r="J163" i="8"/>
  <c r="E163" i="8"/>
  <c r="J162" i="8"/>
  <c r="E162" i="8"/>
  <c r="J161" i="8"/>
  <c r="E161" i="8"/>
  <c r="O160" i="8"/>
  <c r="I160" i="8"/>
  <c r="E160" i="8"/>
  <c r="O159" i="8"/>
  <c r="J159" i="8"/>
  <c r="F157" i="8"/>
  <c r="O155" i="8"/>
  <c r="J155" i="8"/>
  <c r="E155" i="8"/>
  <c r="O154" i="8"/>
  <c r="J154" i="8"/>
  <c r="E154" i="8"/>
  <c r="E153" i="8"/>
  <c r="O150" i="8"/>
  <c r="J150" i="8"/>
  <c r="E101" i="8"/>
  <c r="O146" i="8"/>
  <c r="J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E134" i="8"/>
  <c r="O132" i="8"/>
  <c r="J132" i="8"/>
  <c r="E132" i="8"/>
  <c r="O131" i="8"/>
  <c r="J131" i="8"/>
  <c r="E131" i="8"/>
  <c r="O130" i="8"/>
  <c r="J130" i="8"/>
  <c r="E130" i="8"/>
  <c r="O129" i="8"/>
  <c r="J129" i="8"/>
  <c r="E129" i="8"/>
  <c r="O128" i="8"/>
  <c r="J128" i="8"/>
  <c r="E128" i="8"/>
  <c r="O127" i="8"/>
  <c r="J127" i="8"/>
  <c r="E127" i="8"/>
  <c r="N125" i="8"/>
  <c r="E124" i="8"/>
  <c r="P124" i="8"/>
  <c r="O123" i="8"/>
  <c r="J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E118" i="8"/>
  <c r="O117" i="8"/>
  <c r="J117" i="8"/>
  <c r="E117" i="8"/>
  <c r="O116" i="8"/>
  <c r="J116" i="8"/>
  <c r="E116" i="8"/>
  <c r="O115" i="8"/>
  <c r="J115" i="8"/>
  <c r="E114" i="8"/>
  <c r="O113" i="8"/>
  <c r="J113" i="8"/>
  <c r="P113" i="8"/>
  <c r="E113" i="8"/>
  <c r="O112" i="8"/>
  <c r="J112" i="8"/>
  <c r="P112" i="8"/>
  <c r="O111" i="8"/>
  <c r="J111" i="8"/>
  <c r="P111" i="8"/>
  <c r="E111" i="8"/>
  <c r="O110" i="8"/>
  <c r="J110" i="8"/>
  <c r="E110" i="8"/>
  <c r="H107" i="8"/>
  <c r="H98" i="8"/>
  <c r="K106" i="8"/>
  <c r="O106" i="8"/>
  <c r="J106" i="8"/>
  <c r="P106" i="8"/>
  <c r="J105" i="8"/>
  <c r="E103" i="8"/>
  <c r="K102" i="8"/>
  <c r="J102" i="8"/>
  <c r="I102" i="8"/>
  <c r="H102" i="8"/>
  <c r="G102" i="8"/>
  <c r="K101" i="8"/>
  <c r="K100" i="8"/>
  <c r="O100" i="8"/>
  <c r="J100" i="8"/>
  <c r="P100" i="8"/>
  <c r="F100" i="8"/>
  <c r="E100" i="8"/>
  <c r="N99" i="8"/>
  <c r="M99" i="8"/>
  <c r="L99" i="8"/>
  <c r="K99" i="8"/>
  <c r="I99" i="8"/>
  <c r="E99" i="8"/>
  <c r="H99" i="8"/>
  <c r="G99" i="8"/>
  <c r="F99" i="8"/>
  <c r="O94" i="8"/>
  <c r="O91" i="8"/>
  <c r="J91" i="8"/>
  <c r="O89" i="8"/>
  <c r="J89" i="8"/>
  <c r="P89" i="8"/>
  <c r="O86" i="8"/>
  <c r="J86" i="8"/>
  <c r="O83" i="8"/>
  <c r="J83" i="8"/>
  <c r="O82" i="8"/>
  <c r="J82" i="8"/>
  <c r="O81" i="8"/>
  <c r="J81" i="8"/>
  <c r="O80" i="8"/>
  <c r="J80" i="8"/>
  <c r="O79" i="8"/>
  <c r="J79" i="8"/>
  <c r="P79" i="8"/>
  <c r="O78" i="8"/>
  <c r="J78" i="8"/>
  <c r="O70" i="8"/>
  <c r="J70" i="8"/>
  <c r="P70" i="8"/>
  <c r="O68" i="8"/>
  <c r="J68" i="8"/>
  <c r="O66" i="8"/>
  <c r="J66" i="8"/>
  <c r="O65" i="8"/>
  <c r="J65" i="8"/>
  <c r="O64" i="8"/>
  <c r="J64" i="8"/>
  <c r="P64" i="8"/>
  <c r="O63" i="8"/>
  <c r="J63" i="8"/>
  <c r="O62" i="8"/>
  <c r="J62" i="8"/>
  <c r="O61" i="8"/>
  <c r="J61" i="8"/>
  <c r="O60" i="8"/>
  <c r="J60" i="8"/>
  <c r="O58" i="8"/>
  <c r="J58" i="8"/>
  <c r="O55" i="8"/>
  <c r="J55" i="8"/>
  <c r="E55" i="8"/>
  <c r="O54" i="8"/>
  <c r="J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E40" i="8"/>
  <c r="E39" i="8"/>
  <c r="O35" i="8"/>
  <c r="J35" i="8"/>
  <c r="E35" i="8"/>
  <c r="O34" i="8"/>
  <c r="J34" i="8"/>
  <c r="O33" i="8"/>
  <c r="J33" i="8"/>
  <c r="E33" i="8"/>
  <c r="E31" i="8"/>
  <c r="E30" i="8"/>
  <c r="O29" i="8"/>
  <c r="J29" i="8"/>
  <c r="E29" i="8"/>
  <c r="O28" i="8"/>
  <c r="J28" i="8"/>
  <c r="E28" i="8"/>
  <c r="O27" i="8"/>
  <c r="J27" i="8"/>
  <c r="P26" i="8"/>
  <c r="P15" i="8"/>
  <c r="O25" i="8"/>
  <c r="J25" i="8"/>
  <c r="O23" i="8"/>
  <c r="J23" i="8"/>
  <c r="E22" i="8"/>
  <c r="O21" i="8"/>
  <c r="J21" i="8"/>
  <c r="I16" i="8"/>
  <c r="I14" i="8"/>
  <c r="E20" i="8"/>
  <c r="J19" i="8"/>
  <c r="P19" i="8"/>
  <c r="E19" i="8"/>
  <c r="J18" i="8"/>
  <c r="E18" i="8"/>
  <c r="F15" i="8"/>
  <c r="E15" i="8"/>
  <c r="E198" i="8"/>
  <c r="E204" i="8"/>
  <c r="P204" i="8"/>
  <c r="E200" i="8"/>
  <c r="J325" i="8"/>
  <c r="P325" i="8"/>
  <c r="M16" i="8"/>
  <c r="M14" i="8"/>
  <c r="O236" i="8"/>
  <c r="J236" i="8"/>
  <c r="N16" i="8"/>
  <c r="N14" i="8"/>
  <c r="O22" i="8"/>
  <c r="E249" i="8"/>
  <c r="E248" i="8"/>
  <c r="E247" i="8"/>
  <c r="P247" i="8"/>
  <c r="E108" i="8"/>
  <c r="I316" i="8"/>
  <c r="J392" i="8"/>
  <c r="P392" i="8"/>
  <c r="P398" i="8"/>
  <c r="F288" i="8"/>
  <c r="F286" i="8"/>
  <c r="E308" i="8"/>
  <c r="O57" i="8"/>
  <c r="J57" i="8"/>
  <c r="E364" i="8"/>
  <c r="E135" i="8"/>
  <c r="E351" i="8"/>
  <c r="P351" i="8"/>
  <c r="L51" i="8"/>
  <c r="L42" i="8"/>
  <c r="F138" i="8"/>
  <c r="E138" i="8"/>
  <c r="P138" i="8"/>
  <c r="F67" i="8"/>
  <c r="E50" i="8"/>
  <c r="E104" i="8"/>
  <c r="J250" i="8"/>
  <c r="O101" i="8"/>
  <c r="J101" i="8"/>
  <c r="P365" i="8"/>
  <c r="E77" i="8"/>
  <c r="E257" i="8"/>
  <c r="P257" i="8"/>
  <c r="J15" i="8"/>
  <c r="J77" i="8"/>
  <c r="J244" i="8"/>
  <c r="O53" i="8"/>
  <c r="J251" i="8"/>
  <c r="P94" i="8"/>
  <c r="F411" i="8"/>
  <c r="F410" i="8"/>
  <c r="P68" i="8"/>
  <c r="J376" i="8"/>
  <c r="P376" i="8"/>
  <c r="O319" i="8"/>
  <c r="O364" i="8"/>
  <c r="J364" i="8"/>
  <c r="O93" i="8"/>
  <c r="O48" i="8"/>
  <c r="J357" i="8"/>
  <c r="J318" i="8"/>
  <c r="P318" i="8"/>
  <c r="P359" i="8"/>
  <c r="P21" i="8"/>
  <c r="E264" i="8"/>
  <c r="P264" i="8"/>
  <c r="P342" i="8"/>
  <c r="P224" i="8"/>
  <c r="P91" i="8"/>
  <c r="P383" i="8"/>
  <c r="J409" i="8"/>
  <c r="J408" i="8"/>
  <c r="J407" i="8"/>
  <c r="P250" i="8"/>
  <c r="K326" i="8"/>
  <c r="K316" i="8"/>
  <c r="J353" i="8"/>
  <c r="P353" i="8"/>
  <c r="P62" i="8"/>
  <c r="P307" i="8"/>
  <c r="P199" i="8"/>
  <c r="P332" i="8"/>
  <c r="P73" i="8"/>
  <c r="P401" i="8"/>
  <c r="P191" i="8"/>
  <c r="P299" i="8"/>
  <c r="F105" i="8"/>
  <c r="E105" i="8"/>
  <c r="P105" i="8"/>
  <c r="F393" i="8"/>
  <c r="F391" i="8"/>
  <c r="J281" i="8"/>
  <c r="J268" i="8"/>
  <c r="L248" i="8"/>
  <c r="L247" i="8"/>
  <c r="P145" i="8"/>
  <c r="P166" i="8"/>
  <c r="P220" i="8"/>
  <c r="J363" i="8"/>
  <c r="P363" i="8"/>
  <c r="P18" i="8"/>
  <c r="P184" i="8"/>
  <c r="P188" i="8"/>
  <c r="P192" i="8"/>
  <c r="P273" i="8"/>
  <c r="P27" i="8"/>
  <c r="P86" i="8"/>
  <c r="P337" i="8"/>
  <c r="F43" i="8"/>
  <c r="E43" i="8"/>
  <c r="P314" i="8"/>
  <c r="P50" i="8"/>
  <c r="P259" i="8"/>
  <c r="O324" i="8"/>
  <c r="J289" i="8"/>
  <c r="P289" i="8"/>
  <c r="P288" i="8"/>
  <c r="P128" i="8"/>
  <c r="P291" i="8"/>
  <c r="P274" i="8"/>
  <c r="P304" i="8"/>
  <c r="P146" i="8"/>
  <c r="P230" i="8"/>
  <c r="P76" i="8"/>
  <c r="N269" i="8"/>
  <c r="N267" i="8"/>
  <c r="P65" i="8"/>
  <c r="P82" i="8"/>
  <c r="K255" i="8"/>
  <c r="K253" i="8"/>
  <c r="P164" i="8"/>
  <c r="P311" i="8"/>
  <c r="E95" i="8"/>
  <c r="E49" i="8"/>
  <c r="P144" i="8"/>
  <c r="G43" i="8"/>
  <c r="P186" i="8"/>
  <c r="P194" i="8"/>
  <c r="P282" i="8"/>
  <c r="P280" i="8"/>
  <c r="P396" i="8"/>
  <c r="O219" i="8"/>
  <c r="J219" i="8"/>
  <c r="P219" i="8"/>
  <c r="I288" i="8"/>
  <c r="I286" i="8"/>
  <c r="I417" i="8"/>
  <c r="J232" i="8"/>
  <c r="J231" i="8"/>
  <c r="P231" i="8"/>
  <c r="P54" i="8"/>
  <c r="P123" i="8"/>
  <c r="P181" i="8"/>
  <c r="P185" i="8"/>
  <c r="P341" i="8"/>
  <c r="J340" i="8"/>
  <c r="P235" i="8"/>
  <c r="P142" i="8"/>
  <c r="E157" i="8"/>
  <c r="P157" i="8"/>
  <c r="P23" i="8"/>
  <c r="P237" i="8"/>
  <c r="P377" i="8"/>
  <c r="P390" i="8"/>
  <c r="P49" i="8"/>
  <c r="K49" i="8"/>
  <c r="O49" i="8"/>
  <c r="P155" i="8"/>
  <c r="P296" i="8"/>
  <c r="P301" i="8"/>
  <c r="P384" i="8"/>
  <c r="J400" i="8"/>
  <c r="P400" i="8"/>
  <c r="L393" i="8"/>
  <c r="L391" i="8"/>
  <c r="O95" i="8"/>
  <c r="P350" i="8"/>
  <c r="P319" i="8"/>
  <c r="K393" i="8"/>
  <c r="K391" i="8"/>
  <c r="P130" i="8"/>
  <c r="P167" i="8"/>
  <c r="P171" i="8"/>
  <c r="P121" i="8"/>
  <c r="K411" i="8"/>
  <c r="K410" i="8"/>
  <c r="P39" i="8"/>
  <c r="P300" i="8"/>
  <c r="P308" i="8"/>
  <c r="P364" i="8"/>
  <c r="P150" i="8"/>
  <c r="P172" i="8"/>
  <c r="E393" i="8"/>
  <c r="E391" i="8"/>
  <c r="P81" i="8"/>
  <c r="J394" i="8"/>
  <c r="P394" i="8"/>
  <c r="P406" i="8"/>
  <c r="J404" i="8"/>
  <c r="P404" i="8"/>
  <c r="P116" i="8"/>
  <c r="P182" i="8"/>
  <c r="P367" i="8"/>
  <c r="O374" i="8"/>
  <c r="J374" i="8"/>
  <c r="P380" i="8"/>
  <c r="P239" i="8"/>
  <c r="P227" i="8"/>
  <c r="P55" i="8"/>
  <c r="F16" i="8"/>
  <c r="F14" i="8"/>
  <c r="P131" i="8"/>
  <c r="P163" i="8"/>
  <c r="P170" i="8"/>
  <c r="P183" i="8"/>
  <c r="P187" i="8"/>
  <c r="P195" i="8"/>
  <c r="P234" i="8"/>
  <c r="P290" i="8"/>
  <c r="J221" i="8"/>
  <c r="P221" i="8"/>
  <c r="P200" i="8"/>
  <c r="P58" i="8"/>
  <c r="P45" i="8"/>
  <c r="P328" i="8"/>
  <c r="P360" i="8"/>
  <c r="P92" i="8"/>
  <c r="P381" i="8"/>
  <c r="P339" i="8"/>
  <c r="E67" i="8"/>
  <c r="P67" i="8"/>
  <c r="P298" i="8"/>
  <c r="L16" i="8"/>
  <c r="L14" i="8"/>
  <c r="L417" i="8"/>
  <c r="P96" i="8"/>
  <c r="G269" i="8"/>
  <c r="G267" i="8"/>
  <c r="O287" i="8"/>
  <c r="P198" i="8"/>
  <c r="P161" i="8"/>
  <c r="P165" i="8"/>
  <c r="P189" i="8"/>
  <c r="P193" i="8"/>
  <c r="P197" i="8"/>
  <c r="O283" i="8"/>
  <c r="O269" i="8"/>
  <c r="O267" i="8"/>
  <c r="J272" i="8"/>
  <c r="P272" i="8"/>
  <c r="P382" i="8"/>
  <c r="P87" i="8"/>
  <c r="P31" i="8"/>
  <c r="P387" i="8"/>
  <c r="M269" i="8"/>
  <c r="M267" i="8"/>
  <c r="J356" i="8"/>
  <c r="P356" i="8"/>
  <c r="P397" i="8"/>
  <c r="J277" i="8"/>
  <c r="P277" i="8"/>
  <c r="O255" i="8"/>
  <c r="O253" i="8"/>
  <c r="P276" i="8"/>
  <c r="P17" i="8"/>
  <c r="P217" i="8"/>
  <c r="P285" i="8"/>
  <c r="E283" i="8"/>
  <c r="P263" i="8"/>
  <c r="P85" i="8"/>
  <c r="P59" i="8"/>
  <c r="K158" i="8"/>
  <c r="K156" i="8"/>
  <c r="O278" i="8"/>
  <c r="J278" i="8"/>
  <c r="P278" i="8"/>
  <c r="O214" i="8"/>
  <c r="J214" i="8"/>
  <c r="P214" i="8"/>
  <c r="P35" i="8"/>
  <c r="P139" i="8"/>
  <c r="P174" i="8"/>
  <c r="P178" i="8"/>
  <c r="P196" i="8"/>
  <c r="P201" i="8"/>
  <c r="P218" i="8"/>
  <c r="P245" i="8"/>
  <c r="J284" i="8"/>
  <c r="J283" i="8"/>
  <c r="P294" i="8"/>
  <c r="P292" i="8"/>
  <c r="J260" i="8"/>
  <c r="P260" i="8"/>
  <c r="H269" i="8"/>
  <c r="H267" i="8"/>
  <c r="G51" i="8"/>
  <c r="G42" i="8"/>
  <c r="P246" i="8"/>
  <c r="P61" i="8"/>
  <c r="J248" i="8"/>
  <c r="J247" i="8"/>
  <c r="P303" i="8"/>
  <c r="E409" i="8"/>
  <c r="G158" i="8"/>
  <c r="G156" i="8"/>
  <c r="P238" i="8"/>
  <c r="P223" i="8"/>
  <c r="P244" i="8"/>
  <c r="O102" i="8"/>
  <c r="J22" i="8"/>
  <c r="P22" i="8"/>
  <c r="O366" i="8"/>
  <c r="J366" i="8"/>
  <c r="P366" i="8"/>
  <c r="P77" i="8"/>
  <c r="P43" i="8"/>
  <c r="E327" i="8"/>
  <c r="P327" i="8"/>
  <c r="P28" i="8"/>
  <c r="P33" i="8"/>
  <c r="P132" i="8"/>
  <c r="P175" i="8"/>
  <c r="P180" i="8"/>
  <c r="P190" i="8"/>
  <c r="P233" i="8"/>
  <c r="P271" i="8"/>
  <c r="P56" i="8"/>
  <c r="P372" i="8"/>
  <c r="P25" i="8"/>
  <c r="J93" i="8"/>
  <c r="J48" i="8"/>
  <c r="P236" i="8"/>
  <c r="N288" i="8"/>
  <c r="N286" i="8"/>
  <c r="P297" i="8"/>
  <c r="P66" i="8"/>
  <c r="P101" i="8"/>
  <c r="P135" i="8"/>
  <c r="G67" i="8"/>
  <c r="J37" i="8"/>
  <c r="P37" i="8"/>
  <c r="J44" i="8"/>
  <c r="P44" i="8"/>
  <c r="E45" i="8"/>
  <c r="P117" i="8"/>
  <c r="P127" i="8"/>
  <c r="P134" i="8"/>
  <c r="P168" i="8"/>
  <c r="M393" i="8"/>
  <c r="M391" i="8"/>
  <c r="P71" i="8"/>
  <c r="P125" i="8"/>
  <c r="J53" i="8"/>
  <c r="J258" i="8"/>
  <c r="P63" i="8"/>
  <c r="P169" i="8"/>
  <c r="N107" i="8"/>
  <c r="N98" i="8"/>
  <c r="E340" i="8"/>
  <c r="P340" i="8"/>
  <c r="P60" i="8"/>
  <c r="P414" i="8"/>
  <c r="H255" i="8"/>
  <c r="H253" i="8"/>
  <c r="P41" i="8"/>
  <c r="E176" i="8"/>
  <c r="P177" i="8"/>
  <c r="J255" i="8"/>
  <c r="J253" i="8"/>
  <c r="P266" i="8"/>
  <c r="P52" i="8"/>
  <c r="J275" i="8"/>
  <c r="P275" i="8"/>
  <c r="K16" i="8"/>
  <c r="K14" i="8"/>
  <c r="O32" i="8"/>
  <c r="O16" i="8"/>
  <c r="O14" i="8"/>
  <c r="E251" i="8"/>
  <c r="F248" i="8"/>
  <c r="F247" i="8"/>
  <c r="P357" i="8"/>
  <c r="F107" i="8"/>
  <c r="F98" i="8"/>
  <c r="J160" i="8"/>
  <c r="P160" i="8"/>
  <c r="P179" i="8"/>
  <c r="P315" i="8"/>
  <c r="P80" i="8"/>
  <c r="P225" i="8"/>
  <c r="K269" i="8"/>
  <c r="K267" i="8"/>
  <c r="P249" i="8"/>
  <c r="P248" i="8"/>
  <c r="P129" i="8"/>
  <c r="P162" i="8"/>
  <c r="P287" i="8"/>
  <c r="P309" i="8"/>
  <c r="N393" i="8"/>
  <c r="N391" i="8"/>
  <c r="H51" i="8"/>
  <c r="H42" i="8"/>
  <c r="J158" i="8"/>
  <c r="J156" i="8"/>
  <c r="O248" i="8"/>
  <c r="O247" i="8"/>
  <c r="P334" i="8"/>
  <c r="P78" i="8"/>
  <c r="E229" i="8"/>
  <c r="P229" i="8"/>
  <c r="P29" i="8"/>
  <c r="P72" i="8"/>
  <c r="P149" i="8"/>
  <c r="P143" i="8"/>
  <c r="O330" i="8"/>
  <c r="P154" i="8"/>
  <c r="J176" i="8"/>
  <c r="P95" i="8"/>
  <c r="P118" i="8"/>
  <c r="P295" i="8"/>
  <c r="P362" i="8"/>
  <c r="J335" i="8"/>
  <c r="P335" i="8"/>
  <c r="O322" i="8"/>
  <c r="O20" i="8"/>
  <c r="J20" i="8"/>
  <c r="P20" i="8"/>
  <c r="L269" i="8"/>
  <c r="L267" i="8"/>
  <c r="H158" i="8"/>
  <c r="H156" i="8"/>
  <c r="E102" i="8"/>
  <c r="P102" i="8"/>
  <c r="E288" i="8"/>
  <c r="E286" i="8"/>
  <c r="P133" i="8"/>
  <c r="P97" i="8"/>
  <c r="E93" i="8"/>
  <c r="M417" i="8"/>
  <c r="J321" i="8"/>
  <c r="P321" i="8"/>
  <c r="J288" i="8"/>
  <c r="J286" i="8"/>
  <c r="P286" i="8"/>
  <c r="P232" i="8"/>
  <c r="P281" i="8"/>
  <c r="P268" i="8"/>
  <c r="O158" i="8"/>
  <c r="O156" i="8"/>
  <c r="P284" i="8"/>
  <c r="P283" i="8"/>
  <c r="J269" i="8"/>
  <c r="J267" i="8"/>
  <c r="O320" i="8"/>
  <c r="P409" i="8"/>
  <c r="P408" i="8"/>
  <c r="P407" i="8"/>
  <c r="E408" i="8"/>
  <c r="E407" i="8"/>
  <c r="N417" i="8"/>
  <c r="J254" i="8"/>
  <c r="P258" i="8"/>
  <c r="P254" i="8"/>
  <c r="J32" i="8"/>
  <c r="P32" i="8"/>
  <c r="P16" i="8"/>
  <c r="P14" i="8"/>
  <c r="K322" i="8"/>
  <c r="J322" i="8"/>
  <c r="P322" i="8"/>
  <c r="P251" i="8"/>
  <c r="E48" i="8"/>
  <c r="P93" i="8"/>
  <c r="P48" i="8"/>
  <c r="J330" i="8"/>
  <c r="P176" i="8"/>
  <c r="P330" i="8"/>
  <c r="O148" i="8"/>
  <c r="J153" i="8"/>
  <c r="J148" i="8"/>
  <c r="P153" i="8"/>
  <c r="P148" i="8"/>
  <c r="J352" i="8"/>
  <c r="P352" i="8"/>
  <c r="F51" i="8"/>
  <c r="F42" i="8"/>
  <c r="P416" i="8"/>
  <c r="E411" i="8"/>
  <c r="E410" i="8"/>
  <c r="P410" i="8"/>
  <c r="P126" i="8"/>
  <c r="E379" i="8"/>
  <c r="P379" i="8"/>
  <c r="P90" i="8"/>
  <c r="J412" i="8"/>
  <c r="O411" i="8"/>
  <c r="O410" i="8"/>
  <c r="J411" i="8"/>
  <c r="J410" i="8"/>
  <c r="P412" i="8"/>
  <c r="O51" i="8"/>
  <c r="O42" i="8"/>
  <c r="P399" i="8"/>
  <c r="J375" i="8"/>
  <c r="P375" i="8"/>
  <c r="J369" i="8"/>
  <c r="P369" i="8"/>
  <c r="P34" i="8"/>
  <c r="F326" i="8"/>
  <c r="F316" i="8"/>
  <c r="J320" i="8"/>
  <c r="P374" i="8"/>
  <c r="P320" i="8"/>
  <c r="P373" i="8"/>
  <c r="J114" i="8"/>
  <c r="J104" i="8"/>
  <c r="P104" i="8"/>
  <c r="O99" i="8"/>
  <c r="P110" i="8"/>
  <c r="J99" i="8"/>
  <c r="P99" i="8"/>
  <c r="P114" i="8"/>
  <c r="P368" i="8"/>
  <c r="J323" i="8"/>
  <c r="P323" i="8"/>
  <c r="J16" i="8"/>
  <c r="J14" i="8"/>
  <c r="P109" i="8"/>
  <c r="H417" i="8"/>
  <c r="E51" i="8"/>
  <c r="E42" i="8"/>
  <c r="P53" i="8"/>
  <c r="O30" i="8"/>
  <c r="E16" i="8"/>
  <c r="E14" i="8"/>
  <c r="J395" i="8"/>
  <c r="O393" i="8"/>
  <c r="O391" i="8"/>
  <c r="E158" i="8"/>
  <c r="J361" i="8"/>
  <c r="O326" i="8"/>
  <c r="O316" i="8"/>
  <c r="O107" i="8"/>
  <c r="O98" i="8"/>
  <c r="J108" i="8"/>
  <c r="K107" i="8"/>
  <c r="K98" i="8"/>
  <c r="P115" i="8"/>
  <c r="E107" i="8"/>
  <c r="E98" i="8"/>
  <c r="E255" i="8"/>
  <c r="E253" i="8"/>
  <c r="P253" i="8"/>
  <c r="O40" i="8"/>
  <c r="J40" i="8"/>
  <c r="P40" i="8"/>
  <c r="J30" i="8"/>
  <c r="P30" i="8"/>
  <c r="J393" i="8"/>
  <c r="J391" i="8"/>
  <c r="P391" i="8"/>
  <c r="P395" i="8"/>
  <c r="P393" i="8"/>
  <c r="P158" i="8"/>
  <c r="P156" i="8"/>
  <c r="E156" i="8"/>
  <c r="P361" i="8"/>
  <c r="J326" i="8"/>
  <c r="J316" i="8"/>
  <c r="J107" i="8"/>
  <c r="J98" i="8"/>
  <c r="P108" i="8"/>
  <c r="P107" i="8"/>
  <c r="P255" i="8"/>
  <c r="P98" i="8"/>
  <c r="J51" i="8"/>
  <c r="J42" i="8"/>
  <c r="J417" i="8"/>
  <c r="J423" i="8"/>
  <c r="J425" i="8"/>
  <c r="J427" i="8"/>
  <c r="P57" i="8"/>
  <c r="P51" i="8"/>
  <c r="P42" i="8"/>
  <c r="O417" i="8"/>
  <c r="K417" i="8"/>
  <c r="K423" i="8"/>
  <c r="K425" i="8"/>
  <c r="K427" i="8"/>
  <c r="E326" i="8"/>
  <c r="P349" i="8"/>
  <c r="P326" i="8"/>
  <c r="E316" i="8"/>
  <c r="P316" i="8"/>
  <c r="E270" i="8"/>
  <c r="P270" i="8"/>
  <c r="P269" i="8"/>
  <c r="P267" i="8"/>
  <c r="P417" i="8"/>
  <c r="P423" i="8"/>
  <c r="P425" i="8"/>
  <c r="P427" i="8"/>
  <c r="E269" i="8"/>
  <c r="E267" i="8"/>
  <c r="E417" i="8"/>
  <c r="E430" i="8"/>
  <c r="E423" i="8"/>
  <c r="E425" i="8"/>
  <c r="E427" i="8"/>
  <c r="E431" i="8"/>
</calcChain>
</file>

<file path=xl/sharedStrings.xml><?xml version="1.0" encoding="utf-8"?>
<sst xmlns="http://schemas.openxmlformats.org/spreadsheetml/2006/main" count="1077" uniqueCount="701">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</sst>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2"/>
  <sheetViews>
    <sheetView tabSelected="1" topLeftCell="A9" zoomScaleNormal="100" zoomScaleSheetLayoutView="100" workbookViewId="0">
      <pane xSplit="4" ySplit="5" topLeftCell="E259" activePane="bottomRight" state="frozen"/>
      <selection activeCell="A9" sqref="A9"/>
      <selection pane="topRight" activeCell="E9" sqref="E9"/>
      <selection pane="bottomLeft" activeCell="A14" sqref="A14"/>
      <selection pane="bottomRight" activeCell="G263" sqref="G263"/>
    </sheetView>
  </sheetViews>
  <sheetFormatPr defaultRowHeight="12.75" x14ac:dyDescent="0.2"/>
  <cols>
    <col min="1" max="1" width="11.28515625" style="92" customWidth="1"/>
    <col min="2" max="2" width="11.28515625" style="102" customWidth="1"/>
    <col min="3" max="3" width="10.28515625" style="39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2" t="s">
        <v>568</v>
      </c>
      <c r="P1" s="43"/>
    </row>
    <row r="2" spans="1:18" ht="24" customHeight="1" x14ac:dyDescent="0.2">
      <c r="C2" s="44"/>
      <c r="N2" s="113" t="s">
        <v>141</v>
      </c>
      <c r="O2" s="113"/>
      <c r="P2" s="113"/>
    </row>
    <row r="3" spans="1:18" x14ac:dyDescent="0.2">
      <c r="C3" s="45"/>
      <c r="N3" s="46" t="s">
        <v>569</v>
      </c>
      <c r="P3" s="47"/>
    </row>
    <row r="4" spans="1:18" ht="38.25" customHeight="1" x14ac:dyDescent="0.2">
      <c r="C4" s="45"/>
      <c r="N4" s="113"/>
      <c r="O4" s="113"/>
      <c r="P4" s="113"/>
    </row>
    <row r="5" spans="1:18" ht="17.25" x14ac:dyDescent="0.25">
      <c r="C5" s="114" t="s">
        <v>639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8" ht="17.25" x14ac:dyDescent="0.25">
      <c r="A6" s="93" t="s">
        <v>632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8" x14ac:dyDescent="0.2">
      <c r="A7" s="94" t="s">
        <v>615</v>
      </c>
    </row>
    <row r="8" spans="1:18" x14ac:dyDescent="0.2">
      <c r="C8" s="48"/>
      <c r="P8" s="49" t="s">
        <v>614</v>
      </c>
    </row>
    <row r="9" spans="1:18" ht="15" x14ac:dyDescent="0.25">
      <c r="A9" s="115" t="s">
        <v>571</v>
      </c>
      <c r="B9" s="116" t="s">
        <v>572</v>
      </c>
      <c r="C9" s="117" t="s">
        <v>573</v>
      </c>
      <c r="D9" s="118" t="s">
        <v>574</v>
      </c>
      <c r="E9" s="119" t="s">
        <v>154</v>
      </c>
      <c r="F9" s="119"/>
      <c r="G9" s="119"/>
      <c r="H9" s="119"/>
      <c r="I9" s="119"/>
      <c r="J9" s="119" t="s">
        <v>155</v>
      </c>
      <c r="K9" s="119"/>
      <c r="L9" s="119"/>
      <c r="M9" s="119"/>
      <c r="N9" s="119"/>
      <c r="O9" s="119"/>
      <c r="P9" s="119" t="s">
        <v>156</v>
      </c>
    </row>
    <row r="10" spans="1:18" ht="22.5" customHeight="1" x14ac:dyDescent="0.2">
      <c r="A10" s="115"/>
      <c r="B10" s="116"/>
      <c r="C10" s="117"/>
      <c r="D10" s="118"/>
      <c r="E10" s="110" t="s">
        <v>575</v>
      </c>
      <c r="F10" s="111" t="s">
        <v>157</v>
      </c>
      <c r="G10" s="110" t="s">
        <v>158</v>
      </c>
      <c r="H10" s="110"/>
      <c r="I10" s="110" t="s">
        <v>159</v>
      </c>
      <c r="J10" s="112" t="s">
        <v>576</v>
      </c>
      <c r="K10" s="112" t="s">
        <v>577</v>
      </c>
      <c r="L10" s="110" t="s">
        <v>157</v>
      </c>
      <c r="M10" s="110" t="s">
        <v>158</v>
      </c>
      <c r="N10" s="110"/>
      <c r="O10" s="110" t="s">
        <v>159</v>
      </c>
      <c r="P10" s="119"/>
    </row>
    <row r="11" spans="1:18" ht="21.75" customHeight="1" x14ac:dyDescent="0.2">
      <c r="A11" s="115"/>
      <c r="B11" s="116"/>
      <c r="C11" s="117"/>
      <c r="D11" s="118"/>
      <c r="E11" s="110"/>
      <c r="F11" s="111"/>
      <c r="G11" s="110" t="s">
        <v>160</v>
      </c>
      <c r="H11" s="110" t="s">
        <v>161</v>
      </c>
      <c r="I11" s="110"/>
      <c r="J11" s="112"/>
      <c r="K11" s="112"/>
      <c r="L11" s="110"/>
      <c r="M11" s="110" t="s">
        <v>160</v>
      </c>
      <c r="N11" s="110" t="s">
        <v>161</v>
      </c>
      <c r="O11" s="110"/>
      <c r="P11" s="119"/>
    </row>
    <row r="12" spans="1:18" ht="31.5" customHeight="1" x14ac:dyDescent="0.2">
      <c r="A12" s="115"/>
      <c r="B12" s="116"/>
      <c r="C12" s="117"/>
      <c r="D12" s="118"/>
      <c r="E12" s="110"/>
      <c r="F12" s="111"/>
      <c r="G12" s="110"/>
      <c r="H12" s="110"/>
      <c r="I12" s="110"/>
      <c r="J12" s="112"/>
      <c r="K12" s="112"/>
      <c r="L12" s="110"/>
      <c r="M12" s="110"/>
      <c r="N12" s="110"/>
      <c r="O12" s="110"/>
      <c r="P12" s="119"/>
    </row>
    <row r="13" spans="1:18" s="52" customFormat="1" x14ac:dyDescent="0.2">
      <c r="A13" s="96">
        <v>1</v>
      </c>
      <c r="B13" s="95" t="s">
        <v>121</v>
      </c>
      <c r="C13" s="50">
        <v>3</v>
      </c>
      <c r="D13" s="51">
        <v>4</v>
      </c>
      <c r="E13" s="51">
        <v>5</v>
      </c>
      <c r="F13" s="51">
        <v>6</v>
      </c>
      <c r="G13" s="51">
        <v>7</v>
      </c>
      <c r="H13" s="51">
        <v>8</v>
      </c>
      <c r="I13" s="51">
        <v>9</v>
      </c>
      <c r="J13" s="51">
        <v>10</v>
      </c>
      <c r="K13" s="51">
        <v>11</v>
      </c>
      <c r="L13" s="51">
        <v>12</v>
      </c>
      <c r="M13" s="51">
        <v>13</v>
      </c>
      <c r="N13" s="51">
        <v>14</v>
      </c>
      <c r="O13" s="51">
        <v>15</v>
      </c>
      <c r="P13" s="51">
        <v>16</v>
      </c>
    </row>
    <row r="14" spans="1:18" x14ac:dyDescent="0.2">
      <c r="A14" s="97" t="s">
        <v>212</v>
      </c>
      <c r="B14" s="103"/>
      <c r="C14" s="6"/>
      <c r="D14" s="28" t="s">
        <v>162</v>
      </c>
      <c r="E14" s="11">
        <f>E16</f>
        <v>65485751</v>
      </c>
      <c r="F14" s="11">
        <f t="shared" ref="F14:P14" si="0">F16</f>
        <v>65485751</v>
      </c>
      <c r="G14" s="11">
        <f t="shared" si="0"/>
        <v>38690500</v>
      </c>
      <c r="H14" s="11">
        <f t="shared" si="0"/>
        <v>1413400</v>
      </c>
      <c r="I14" s="11">
        <f t="shared" si="0"/>
        <v>0</v>
      </c>
      <c r="J14" s="11">
        <f>J16</f>
        <v>5604995</v>
      </c>
      <c r="K14" s="11">
        <f>K16</f>
        <v>2678018</v>
      </c>
      <c r="L14" s="11">
        <f t="shared" si="0"/>
        <v>2122500</v>
      </c>
      <c r="M14" s="11">
        <f t="shared" si="0"/>
        <v>0</v>
      </c>
      <c r="N14" s="11">
        <f t="shared" si="0"/>
        <v>0</v>
      </c>
      <c r="O14" s="11">
        <f t="shared" si="0"/>
        <v>3482495</v>
      </c>
      <c r="P14" s="11">
        <f t="shared" si="0"/>
        <v>71090746</v>
      </c>
      <c r="R14" s="31"/>
    </row>
    <row r="15" spans="1:18" s="1" customFormat="1" x14ac:dyDescent="0.2">
      <c r="A15" s="98"/>
      <c r="B15" s="87"/>
      <c r="C15" s="53"/>
      <c r="D15" s="13" t="s">
        <v>36</v>
      </c>
      <c r="E15" s="8">
        <f>E26</f>
        <v>0</v>
      </c>
      <c r="F15" s="54">
        <f>F26</f>
        <v>0</v>
      </c>
      <c r="G15" s="14"/>
      <c r="H15" s="14"/>
      <c r="I15" s="14"/>
      <c r="J15" s="84">
        <f>J38</f>
        <v>400338</v>
      </c>
      <c r="K15" s="14"/>
      <c r="L15" s="14"/>
      <c r="M15" s="14"/>
      <c r="N15" s="14"/>
      <c r="O15" s="84">
        <f>O38</f>
        <v>400338</v>
      </c>
      <c r="P15" s="14">
        <f>P26</f>
        <v>0</v>
      </c>
    </row>
    <row r="16" spans="1:18" s="33" customFormat="1" ht="17.25" customHeight="1" x14ac:dyDescent="0.2">
      <c r="A16" s="99" t="s">
        <v>219</v>
      </c>
      <c r="B16" s="103"/>
      <c r="C16" s="6"/>
      <c r="D16" s="13" t="s">
        <v>162</v>
      </c>
      <c r="E16" s="55">
        <f>E17+E20+E41+E22+E25+E29+E27+E34+E35+E39+E30+E33+E18+E32</f>
        <v>65485751</v>
      </c>
      <c r="F16" s="55">
        <f>F17+F20+F41+F22+F25+F29+F27+F34+F35+F39+F30+F33+F18+F32</f>
        <v>65485751</v>
      </c>
      <c r="G16" s="55">
        <f>G17+G20+G41+G22+G25+G29+G27+G34+G35+G39+G30+G33+G18</f>
        <v>38690500</v>
      </c>
      <c r="H16" s="55">
        <f>H17+H20+H41+H22+H25+H29+H27+H34+H35+H39+H30+H33+H18</f>
        <v>1413400</v>
      </c>
      <c r="I16" s="55">
        <f>I17+I20+I41+I22+I25+I29+I27+I34+I35+I39+I30+I33+I18</f>
        <v>0</v>
      </c>
      <c r="J16" s="55">
        <f>J17+J32+J34+J31+J37+J39+J41+J23+J25</f>
        <v>5604995</v>
      </c>
      <c r="K16" s="55">
        <f>K17+K20+K41+K22+K25+K29+K27+K34+K35+K39+K30+K33+K18+K37+K32+K23</f>
        <v>2678018</v>
      </c>
      <c r="L16" s="55">
        <f>L17+L20+L41+L22+L25+L29+L27+L34+L35+L39+L30+L33+L18+L37+L31</f>
        <v>2122500</v>
      </c>
      <c r="M16" s="55">
        <f>M17+M20+M41+M22+M25+M29+M27+M34+M35+M39+M30+M33+M18+M37</f>
        <v>0</v>
      </c>
      <c r="N16" s="55">
        <f>N17+N20+N41+N22+N25+N29+N27+N34+N35+N39+N30+N33+N18+N37</f>
        <v>0</v>
      </c>
      <c r="O16" s="55">
        <f>O17+O32+O34+O31+O37+O41+O23+O25</f>
        <v>3482495</v>
      </c>
      <c r="P16" s="55">
        <f>P17+P25+P27+P29+P31+P32+P34+P37+P39+P41+P23</f>
        <v>71090746</v>
      </c>
    </row>
    <row r="17" spans="1:17" ht="41.25" customHeight="1" x14ac:dyDescent="0.2">
      <c r="A17" s="99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54368469</v>
      </c>
      <c r="F17" s="9">
        <f>54278469+90000</f>
        <v>54368469</v>
      </c>
      <c r="G17" s="9">
        <f>38826200-135700</f>
        <v>38690500</v>
      </c>
      <c r="H17" s="9">
        <f>1323400+90000</f>
        <v>1413400</v>
      </c>
      <c r="I17" s="9"/>
      <c r="J17" s="9">
        <f>L17+O17</f>
        <v>1340500</v>
      </c>
      <c r="K17" s="9">
        <f>1872500-129000-403000</f>
        <v>1340500</v>
      </c>
      <c r="L17" s="9"/>
      <c r="M17" s="9"/>
      <c r="N17" s="9"/>
      <c r="O17" s="9">
        <f>K17</f>
        <v>1340500</v>
      </c>
      <c r="P17" s="11">
        <f t="shared" ref="P17:P41" si="2">E17+J17</f>
        <v>55708969</v>
      </c>
    </row>
    <row r="18" spans="1:17" ht="25.5" hidden="1" x14ac:dyDescent="0.2">
      <c r="A18" s="99" t="s">
        <v>578</v>
      </c>
      <c r="B18" s="4" t="s">
        <v>579</v>
      </c>
      <c r="C18" s="4"/>
      <c r="D18" s="5" t="s">
        <v>582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100" t="s">
        <v>580</v>
      </c>
      <c r="B19" s="3" t="s">
        <v>581</v>
      </c>
      <c r="C19" s="3" t="s">
        <v>235</v>
      </c>
      <c r="D19" s="56" t="s">
        <v>583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9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100" t="s">
        <v>472</v>
      </c>
      <c r="B21" s="3" t="s">
        <v>449</v>
      </c>
      <c r="C21" s="3" t="s">
        <v>165</v>
      </c>
      <c r="D21" s="57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8">
        <f t="shared" ref="O21:O29" si="4">K21</f>
        <v>0</v>
      </c>
      <c r="P21" s="11">
        <f t="shared" si="2"/>
        <v>0</v>
      </c>
      <c r="Q21" s="34"/>
    </row>
    <row r="22" spans="1:17" hidden="1" x14ac:dyDescent="0.2">
      <c r="A22" s="99" t="s">
        <v>70</v>
      </c>
      <c r="B22" s="4" t="s">
        <v>74</v>
      </c>
      <c r="C22" s="4"/>
      <c r="D22" s="59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8">
        <f t="shared" si="4"/>
        <v>0</v>
      </c>
      <c r="P22" s="11">
        <f t="shared" si="2"/>
        <v>0</v>
      </c>
    </row>
    <row r="23" spans="1:17" hidden="1" x14ac:dyDescent="0.2">
      <c r="A23" s="99" t="s">
        <v>25</v>
      </c>
      <c r="B23" s="4" t="s">
        <v>26</v>
      </c>
      <c r="C23" s="4" t="s">
        <v>27</v>
      </c>
      <c r="D23" s="68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8">
        <f t="shared" si="4"/>
        <v>0</v>
      </c>
      <c r="P23" s="11">
        <f t="shared" si="2"/>
        <v>0</v>
      </c>
    </row>
    <row r="24" spans="1:17" s="1" customFormat="1" ht="38.25" hidden="1" x14ac:dyDescent="0.2">
      <c r="A24" s="100"/>
      <c r="B24" s="3"/>
      <c r="C24" s="3"/>
      <c r="D24" s="60" t="s">
        <v>629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8"/>
      <c r="P24" s="14">
        <f t="shared" si="2"/>
        <v>0</v>
      </c>
    </row>
    <row r="25" spans="1:17" x14ac:dyDescent="0.2">
      <c r="A25" s="99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8">
        <f>800000-49800</f>
        <v>750200</v>
      </c>
      <c r="G25" s="58"/>
      <c r="H25" s="58"/>
      <c r="I25" s="58"/>
      <c r="J25" s="9">
        <f t="shared" si="3"/>
        <v>49800</v>
      </c>
      <c r="K25" s="58">
        <v>49800</v>
      </c>
      <c r="L25" s="58"/>
      <c r="M25" s="58"/>
      <c r="N25" s="58"/>
      <c r="O25" s="58">
        <f t="shared" si="4"/>
        <v>49800</v>
      </c>
      <c r="P25" s="11">
        <f t="shared" si="2"/>
        <v>800000</v>
      </c>
    </row>
    <row r="26" spans="1:17" s="1" customFormat="1" hidden="1" x14ac:dyDescent="0.2">
      <c r="A26" s="100"/>
      <c r="B26" s="19"/>
      <c r="C26" s="19"/>
      <c r="D26" s="32" t="s">
        <v>519</v>
      </c>
      <c r="E26" s="8"/>
      <c r="F26" s="54"/>
      <c r="G26" s="54"/>
      <c r="H26" s="54"/>
      <c r="I26" s="54"/>
      <c r="J26" s="8"/>
      <c r="K26" s="54"/>
      <c r="L26" s="54"/>
      <c r="M26" s="54"/>
      <c r="N26" s="54"/>
      <c r="O26" s="54"/>
      <c r="P26" s="11">
        <f t="shared" si="2"/>
        <v>0</v>
      </c>
    </row>
    <row r="27" spans="1:17" x14ac:dyDescent="0.2">
      <c r="A27" s="99" t="s">
        <v>225</v>
      </c>
      <c r="B27" s="4" t="s">
        <v>224</v>
      </c>
      <c r="C27" s="4" t="s">
        <v>170</v>
      </c>
      <c r="D27" s="41" t="s">
        <v>125</v>
      </c>
      <c r="E27" s="9">
        <f t="shared" si="5"/>
        <v>153050</v>
      </c>
      <c r="F27" s="58">
        <f>400000-246950</f>
        <v>153050</v>
      </c>
      <c r="G27" s="58"/>
      <c r="H27" s="58"/>
      <c r="I27" s="58"/>
      <c r="J27" s="9">
        <f t="shared" si="3"/>
        <v>0</v>
      </c>
      <c r="K27" s="58"/>
      <c r="L27" s="58"/>
      <c r="M27" s="58"/>
      <c r="N27" s="58"/>
      <c r="O27" s="58">
        <f t="shared" si="4"/>
        <v>0</v>
      </c>
      <c r="P27" s="11">
        <f t="shared" si="2"/>
        <v>153050</v>
      </c>
    </row>
    <row r="28" spans="1:17" hidden="1" x14ac:dyDescent="0.2">
      <c r="A28" s="99" t="s">
        <v>525</v>
      </c>
      <c r="B28" s="4" t="s">
        <v>223</v>
      </c>
      <c r="C28" s="7" t="s">
        <v>169</v>
      </c>
      <c r="D28" s="18" t="s">
        <v>526</v>
      </c>
      <c r="E28" s="9">
        <f>F28+I28</f>
        <v>0</v>
      </c>
      <c r="F28" s="58"/>
      <c r="G28" s="58"/>
      <c r="H28" s="58"/>
      <c r="I28" s="58"/>
      <c r="J28" s="9">
        <f>L28+O28</f>
        <v>0</v>
      </c>
      <c r="K28" s="58"/>
      <c r="L28" s="58"/>
      <c r="M28" s="58"/>
      <c r="N28" s="58"/>
      <c r="O28" s="58">
        <f t="shared" si="4"/>
        <v>0</v>
      </c>
      <c r="P28" s="11">
        <f t="shared" si="2"/>
        <v>0</v>
      </c>
    </row>
    <row r="29" spans="1:17" ht="13.5" customHeight="1" x14ac:dyDescent="0.2">
      <c r="A29" s="99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8">
        <v>199100</v>
      </c>
      <c r="G29" s="58"/>
      <c r="H29" s="58"/>
      <c r="I29" s="58"/>
      <c r="J29" s="9">
        <f>L29+O29</f>
        <v>0</v>
      </c>
      <c r="K29" s="58"/>
      <c r="L29" s="58"/>
      <c r="M29" s="58"/>
      <c r="N29" s="58"/>
      <c r="O29" s="58">
        <f t="shared" si="4"/>
        <v>0</v>
      </c>
      <c r="P29" s="11">
        <f t="shared" si="2"/>
        <v>199100</v>
      </c>
    </row>
    <row r="30" spans="1:17" ht="10.5" hidden="1" customHeight="1" x14ac:dyDescent="0.2">
      <c r="A30" s="99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906800</v>
      </c>
      <c r="K30" s="9"/>
      <c r="L30" s="9"/>
      <c r="M30" s="9"/>
      <c r="N30" s="9"/>
      <c r="O30" s="9">
        <f>O31+O32</f>
        <v>906800</v>
      </c>
      <c r="P30" s="11">
        <f t="shared" si="2"/>
        <v>906800</v>
      </c>
    </row>
    <row r="31" spans="1:17" ht="63.75" x14ac:dyDescent="0.2">
      <c r="A31" s="99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9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7481850</v>
      </c>
      <c r="F32" s="9">
        <f>6966419+200000+147000+126431+200000-158000</f>
        <v>7481850</v>
      </c>
      <c r="G32" s="9"/>
      <c r="H32" s="9"/>
      <c r="I32" s="9"/>
      <c r="J32" s="9">
        <f t="shared" si="3"/>
        <v>561500</v>
      </c>
      <c r="K32" s="9">
        <f>34300+39200+158000+330000</f>
        <v>561500</v>
      </c>
      <c r="L32" s="9"/>
      <c r="M32" s="9"/>
      <c r="N32" s="9"/>
      <c r="O32" s="9">
        <f>K32</f>
        <v>561500</v>
      </c>
      <c r="P32" s="11">
        <f t="shared" si="2"/>
        <v>8043350</v>
      </c>
    </row>
    <row r="33" spans="1:18" hidden="1" x14ac:dyDescent="0.2">
      <c r="A33" s="99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8">
        <f>K33</f>
        <v>0</v>
      </c>
      <c r="P33" s="11">
        <f t="shared" si="2"/>
        <v>0</v>
      </c>
    </row>
    <row r="34" spans="1:18" ht="26.25" customHeight="1" x14ac:dyDescent="0.2">
      <c r="A34" s="99" t="s">
        <v>227</v>
      </c>
      <c r="B34" s="4" t="s">
        <v>226</v>
      </c>
      <c r="C34" s="4" t="s">
        <v>172</v>
      </c>
      <c r="D34" s="12" t="s">
        <v>433</v>
      </c>
      <c r="E34" s="9">
        <f>F34+I34</f>
        <v>90782</v>
      </c>
      <c r="F34" s="10">
        <f>117000-42000+15782</f>
        <v>90782</v>
      </c>
      <c r="G34" s="10"/>
      <c r="H34" s="10"/>
      <c r="I34" s="10"/>
      <c r="J34" s="9">
        <f t="shared" si="3"/>
        <v>26218</v>
      </c>
      <c r="K34" s="10">
        <f>42000-15782</f>
        <v>26218</v>
      </c>
      <c r="L34" s="10"/>
      <c r="M34" s="10"/>
      <c r="N34" s="10"/>
      <c r="O34" s="58">
        <f>K34</f>
        <v>26218</v>
      </c>
      <c r="P34" s="11">
        <f t="shared" si="2"/>
        <v>117000</v>
      </c>
    </row>
    <row r="35" spans="1:18" ht="25.5" hidden="1" x14ac:dyDescent="0.2">
      <c r="A35" s="99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8">
        <f>K35</f>
        <v>0</v>
      </c>
      <c r="P35" s="11">
        <f t="shared" si="2"/>
        <v>0</v>
      </c>
    </row>
    <row r="36" spans="1:18" hidden="1" x14ac:dyDescent="0.2">
      <c r="A36" s="99" t="s">
        <v>504</v>
      </c>
      <c r="B36" s="4" t="s">
        <v>505</v>
      </c>
      <c r="C36" s="4"/>
      <c r="D36" s="12" t="s">
        <v>508</v>
      </c>
      <c r="E36" s="9"/>
      <c r="F36" s="22"/>
      <c r="G36" s="22"/>
      <c r="H36" s="22"/>
      <c r="I36" s="22"/>
      <c r="J36" s="9">
        <f t="shared" si="3"/>
        <v>459177</v>
      </c>
      <c r="K36" s="22"/>
      <c r="L36" s="10"/>
      <c r="M36" s="10"/>
      <c r="N36" s="10"/>
      <c r="O36" s="10">
        <f>O37</f>
        <v>459177</v>
      </c>
      <c r="P36" s="11">
        <f t="shared" si="2"/>
        <v>459177</v>
      </c>
    </row>
    <row r="37" spans="1:18" x14ac:dyDescent="0.2">
      <c r="A37" s="99" t="s">
        <v>506</v>
      </c>
      <c r="B37" s="4" t="s">
        <v>507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624177</v>
      </c>
      <c r="K37" s="22"/>
      <c r="L37" s="10">
        <f>165000</f>
        <v>165000</v>
      </c>
      <c r="M37" s="10"/>
      <c r="N37" s="10"/>
      <c r="O37" s="58">
        <f>58839+400338</f>
        <v>459177</v>
      </c>
      <c r="P37" s="11">
        <f t="shared" si="2"/>
        <v>624177</v>
      </c>
    </row>
    <row r="38" spans="1:18" s="1" customFormat="1" x14ac:dyDescent="0.2">
      <c r="A38" s="100"/>
      <c r="B38" s="3"/>
      <c r="C38" s="3"/>
      <c r="D38" s="13" t="s">
        <v>13</v>
      </c>
      <c r="E38" s="8"/>
      <c r="F38" s="29"/>
      <c r="G38" s="29"/>
      <c r="H38" s="29"/>
      <c r="I38" s="29"/>
      <c r="J38" s="54">
        <f>O38</f>
        <v>400338</v>
      </c>
      <c r="K38" s="29"/>
      <c r="L38" s="15"/>
      <c r="M38" s="15"/>
      <c r="N38" s="15"/>
      <c r="O38" s="54">
        <v>400338</v>
      </c>
      <c r="P38" s="11">
        <f t="shared" si="2"/>
        <v>400338</v>
      </c>
    </row>
    <row r="39" spans="1:18" x14ac:dyDescent="0.2">
      <c r="A39" s="99" t="s">
        <v>509</v>
      </c>
      <c r="B39" s="4" t="s">
        <v>510</v>
      </c>
      <c r="C39" s="4" t="s">
        <v>398</v>
      </c>
      <c r="D39" s="59" t="s">
        <v>511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100"/>
      <c r="B40" s="3"/>
      <c r="C40" s="3"/>
      <c r="D40" s="57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906800</v>
      </c>
      <c r="K40" s="8"/>
      <c r="L40" s="8"/>
      <c r="M40" s="8"/>
      <c r="N40" s="8"/>
      <c r="O40" s="9">
        <f>O30</f>
        <v>906800</v>
      </c>
      <c r="P40" s="11">
        <f t="shared" si="2"/>
        <v>906800</v>
      </c>
    </row>
    <row r="41" spans="1:18" x14ac:dyDescent="0.2">
      <c r="A41" s="99" t="s">
        <v>644</v>
      </c>
      <c r="B41" s="4" t="s">
        <v>643</v>
      </c>
      <c r="C41" s="4" t="s">
        <v>167</v>
      </c>
      <c r="D41" s="61" t="s">
        <v>645</v>
      </c>
      <c r="E41" s="9">
        <f>F41+I41</f>
        <v>2442300</v>
      </c>
      <c r="F41" s="9">
        <f>3722300-700000-200000-380000</f>
        <v>2442300</v>
      </c>
      <c r="G41" s="9"/>
      <c r="H41" s="9"/>
      <c r="I41" s="9"/>
      <c r="J41" s="9">
        <f t="shared" si="3"/>
        <v>700000</v>
      </c>
      <c r="K41" s="9">
        <v>700000</v>
      </c>
      <c r="L41" s="9"/>
      <c r="M41" s="9"/>
      <c r="N41" s="9"/>
      <c r="O41" s="58">
        <f>K41</f>
        <v>700000</v>
      </c>
      <c r="P41" s="11">
        <f t="shared" si="2"/>
        <v>3142300</v>
      </c>
    </row>
    <row r="42" spans="1:18" x14ac:dyDescent="0.2">
      <c r="A42" s="97" t="s">
        <v>213</v>
      </c>
      <c r="B42" s="103"/>
      <c r="C42" s="6"/>
      <c r="D42" s="28" t="s">
        <v>178</v>
      </c>
      <c r="E42" s="22">
        <f>E51</f>
        <v>572593040</v>
      </c>
      <c r="F42" s="22">
        <f t="shared" ref="F42:P42" si="6">F51</f>
        <v>572593040</v>
      </c>
      <c r="G42" s="22">
        <f t="shared" si="6"/>
        <v>397600785</v>
      </c>
      <c r="H42" s="22">
        <f t="shared" si="6"/>
        <v>58242697</v>
      </c>
      <c r="I42" s="22"/>
      <c r="J42" s="22">
        <f t="shared" si="6"/>
        <v>54817360</v>
      </c>
      <c r="K42" s="22">
        <f>K51</f>
        <v>33054130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33145530</v>
      </c>
      <c r="P42" s="22">
        <f t="shared" si="6"/>
        <v>627410400</v>
      </c>
      <c r="Q42" s="35"/>
      <c r="R42" s="31"/>
    </row>
    <row r="43" spans="1:18" s="1" customFormat="1" x14ac:dyDescent="0.2">
      <c r="A43" s="100"/>
      <c r="B43" s="19"/>
      <c r="C43" s="3"/>
      <c r="D43" s="32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100"/>
      <c r="B44" s="19"/>
      <c r="C44" s="3"/>
      <c r="D44" s="32" t="s">
        <v>502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100"/>
      <c r="B45" s="19"/>
      <c r="C45" s="3"/>
      <c r="D45" s="32" t="s">
        <v>672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100"/>
      <c r="B46" s="19"/>
      <c r="C46" s="19"/>
      <c r="D46" s="21" t="s">
        <v>515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100"/>
      <c r="B47" s="19"/>
      <c r="C47" s="19"/>
      <c r="D47" s="21" t="s">
        <v>599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100"/>
      <c r="B48" s="19"/>
      <c r="C48" s="19"/>
      <c r="D48" s="21" t="s">
        <v>45</v>
      </c>
      <c r="E48" s="8">
        <f>E93</f>
        <v>798157</v>
      </c>
      <c r="F48" s="8">
        <f t="shared" ref="F48:P48" si="8">F93</f>
        <v>798157</v>
      </c>
      <c r="G48" s="8">
        <f t="shared" si="8"/>
        <v>24868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3201800</v>
      </c>
    </row>
    <row r="49" spans="1:18" s="1" customFormat="1" ht="38.25" x14ac:dyDescent="0.2">
      <c r="A49" s="100"/>
      <c r="B49" s="19"/>
      <c r="C49" s="3"/>
      <c r="D49" s="32" t="s">
        <v>536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100"/>
      <c r="B50" s="19"/>
      <c r="C50" s="3"/>
      <c r="D50" s="32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9" t="s">
        <v>234</v>
      </c>
      <c r="B51" s="17"/>
      <c r="C51" s="6"/>
      <c r="D51" s="12" t="s">
        <v>178</v>
      </c>
      <c r="E51" s="22">
        <f>E52+E53+E57+E60+E69+E70+E77+E79+E83+E86+E88+E89+E94+E76+E96+E92+E90+E74</f>
        <v>572593040</v>
      </c>
      <c r="F51" s="22">
        <f>F52+F53+F57+F60+F69+F70+F77+F79+F83+F86+F88+F89+F94+F76+F96+F92+F90+F74</f>
        <v>572593040</v>
      </c>
      <c r="G51" s="22">
        <f>G52+G53+G57+G60+G69+G70+G77+G79+G83+G86+G88+G89+G94+G76+G96+G92+G90</f>
        <v>397600785</v>
      </c>
      <c r="H51" s="22">
        <f>H52+H53+H57+H60+H69+H70+H77+H79+H83+H86+H88+H89+H94</f>
        <v>58242697</v>
      </c>
      <c r="I51" s="22">
        <f>I52+I53+I57+I60+I69+I70+I77+I79+I83+I86+I88+I89+I94</f>
        <v>0</v>
      </c>
      <c r="J51" s="22">
        <f>J52+J53+J57+J60+J69+J70+J77+J79+J83+J86+J88+J89+J94+J76+J96+J91+J92+J90+J74+J75</f>
        <v>54817360</v>
      </c>
      <c r="K51" s="22">
        <f>K52+K53+K57+K60+K69+K70+K77+K79+K83+K86+K88+K89+K94+K76+K96+K91+K92+K90+K74+K75</f>
        <v>33054130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33145530</v>
      </c>
      <c r="P51" s="22">
        <f>P52+P53+P57+P60+P69+P70+P77+P79+P83+P86+P88+P89+P94+P76+P96+P91+P92+P90+P74+P75</f>
        <v>627410400</v>
      </c>
    </row>
    <row r="52" spans="1:18" ht="25.5" x14ac:dyDescent="0.2">
      <c r="A52" s="99" t="s">
        <v>236</v>
      </c>
      <c r="B52" s="4" t="s">
        <v>235</v>
      </c>
      <c r="C52" s="4" t="s">
        <v>163</v>
      </c>
      <c r="D52" s="12" t="s">
        <v>642</v>
      </c>
      <c r="E52" s="9">
        <f>F52+I52</f>
        <v>2382100</v>
      </c>
      <c r="F52" s="10">
        <f>2354100+28000</f>
        <v>2382100</v>
      </c>
      <c r="G52" s="10">
        <v>1885200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2399500</v>
      </c>
    </row>
    <row r="53" spans="1:18" x14ac:dyDescent="0.2">
      <c r="A53" s="99" t="s">
        <v>238</v>
      </c>
      <c r="B53" s="17" t="s">
        <v>106</v>
      </c>
      <c r="C53" s="17" t="s">
        <v>179</v>
      </c>
      <c r="D53" s="5" t="s">
        <v>237</v>
      </c>
      <c r="E53" s="9">
        <f>F53</f>
        <v>194635021</v>
      </c>
      <c r="F53" s="107">
        <f>192686621+380000+850000-865000-16000+1599400</f>
        <v>194635021</v>
      </c>
      <c r="G53" s="10">
        <f>125949300-820000</f>
        <v>125129300</v>
      </c>
      <c r="H53" s="10">
        <f>18317400+1490000+524000+2700000-350000-20000+2141000+380000+850000-16000</f>
        <v>26016400</v>
      </c>
      <c r="I53" s="10"/>
      <c r="J53" s="9">
        <f t="shared" si="10"/>
        <v>23674729</v>
      </c>
      <c r="K53" s="10">
        <f>6953000-106042-214205-913324</f>
        <v>5719429</v>
      </c>
      <c r="L53" s="10">
        <v>17955300</v>
      </c>
      <c r="M53" s="10">
        <v>31000</v>
      </c>
      <c r="N53" s="10">
        <v>1400</v>
      </c>
      <c r="O53" s="10">
        <f>K53</f>
        <v>5719429</v>
      </c>
      <c r="P53" s="11">
        <f t="shared" si="11"/>
        <v>218309750</v>
      </c>
      <c r="Q53" s="81"/>
      <c r="R53" s="82"/>
    </row>
    <row r="54" spans="1:18" ht="38.25" hidden="1" x14ac:dyDescent="0.2">
      <c r="A54" s="99"/>
      <c r="B54" s="17"/>
      <c r="C54" s="17"/>
      <c r="D54" s="32" t="s">
        <v>536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9"/>
      <c r="B55" s="17"/>
      <c r="C55" s="17"/>
      <c r="D55" s="21" t="s">
        <v>627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100"/>
      <c r="B56" s="19"/>
      <c r="C56" s="19"/>
      <c r="D56" s="21" t="s">
        <v>519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9" t="s">
        <v>658</v>
      </c>
      <c r="B57" s="17" t="s">
        <v>648</v>
      </c>
      <c r="C57" s="17" t="s">
        <v>180</v>
      </c>
      <c r="D57" s="18" t="s">
        <v>660</v>
      </c>
      <c r="E57" s="9">
        <f>F57</f>
        <v>77991227</v>
      </c>
      <c r="F57" s="10">
        <f>73654297+1175000-400000+1650000-310000+1108000+1113930</f>
        <v>77991227</v>
      </c>
      <c r="G57" s="10">
        <f>32632800+1020000</f>
        <v>33652800</v>
      </c>
      <c r="H57" s="10">
        <f>24903067-100000-1500000-733000+300000+10000+3010300+1175000-400000+1650000-310000+1113930</f>
        <v>29119297</v>
      </c>
      <c r="I57" s="10"/>
      <c r="J57" s="78">
        <f>L57+O57</f>
        <v>7663618</v>
      </c>
      <c r="K57" s="9">
        <f>5583332-5537-88421+70000-137670-289090-86676</f>
        <v>5045938</v>
      </c>
      <c r="L57" s="9">
        <v>2578880</v>
      </c>
      <c r="M57" s="9">
        <v>1009130</v>
      </c>
      <c r="N57" s="9">
        <v>54500</v>
      </c>
      <c r="O57" s="9">
        <f>K57+38800</f>
        <v>5084738</v>
      </c>
      <c r="P57" s="11">
        <f t="shared" si="11"/>
        <v>85654845</v>
      </c>
    </row>
    <row r="58" spans="1:18" ht="38.25" x14ac:dyDescent="0.2">
      <c r="A58" s="99"/>
      <c r="B58" s="17"/>
      <c r="C58" s="17"/>
      <c r="D58" s="32" t="s">
        <v>672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9"/>
      <c r="B59" s="17"/>
      <c r="C59" s="17"/>
      <c r="D59" s="32" t="s">
        <v>519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9" t="s">
        <v>659</v>
      </c>
      <c r="B60" s="17" t="s">
        <v>649</v>
      </c>
      <c r="C60" s="17" t="s">
        <v>180</v>
      </c>
      <c r="D60" s="18" t="s">
        <v>660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9"/>
      <c r="B61" s="17"/>
      <c r="C61" s="17"/>
      <c r="D61" s="32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9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100"/>
      <c r="B63" s="19"/>
      <c r="C63" s="19"/>
      <c r="D63" s="21" t="s">
        <v>605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9"/>
      <c r="B64" s="17"/>
      <c r="C64" s="17"/>
      <c r="D64" s="21" t="s">
        <v>600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9"/>
      <c r="B65" s="17"/>
      <c r="C65" s="17"/>
      <c r="D65" s="21" t="s">
        <v>502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9"/>
      <c r="B66" s="17"/>
      <c r="C66" s="17"/>
      <c r="D66" s="21" t="s">
        <v>515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100"/>
      <c r="B67" s="19"/>
      <c r="C67" s="19"/>
      <c r="D67" s="32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6"/>
      <c r="B68" s="104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9" t="s">
        <v>661</v>
      </c>
      <c r="B69" s="17" t="s">
        <v>650</v>
      </c>
      <c r="C69" s="17" t="s">
        <v>151</v>
      </c>
      <c r="D69" s="20" t="s">
        <v>616</v>
      </c>
      <c r="E69" s="9">
        <f t="shared" si="13"/>
        <v>219700</v>
      </c>
      <c r="F69" s="10">
        <v>219700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219700</v>
      </c>
    </row>
    <row r="70" spans="1:16" ht="25.5" x14ac:dyDescent="0.2">
      <c r="A70" s="99" t="s">
        <v>662</v>
      </c>
      <c r="B70" s="17" t="s">
        <v>651</v>
      </c>
      <c r="C70" s="17" t="s">
        <v>151</v>
      </c>
      <c r="D70" s="20" t="s">
        <v>616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9"/>
      <c r="B71" s="17"/>
      <c r="C71" s="17"/>
      <c r="D71" s="21" t="s">
        <v>502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100"/>
      <c r="B72" s="19"/>
      <c r="C72" s="19"/>
      <c r="D72" s="32" t="s">
        <v>536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100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9" t="s">
        <v>699</v>
      </c>
      <c r="B74" s="17" t="s">
        <v>697</v>
      </c>
      <c r="C74" s="17" t="s">
        <v>180</v>
      </c>
      <c r="D74" s="105" t="s">
        <v>657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9" t="s">
        <v>700</v>
      </c>
      <c r="B75" s="17" t="s">
        <v>698</v>
      </c>
      <c r="C75" s="17" t="s">
        <v>151</v>
      </c>
      <c r="D75" s="105" t="s">
        <v>616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101" t="s">
        <v>1</v>
      </c>
      <c r="B76" s="90" t="s">
        <v>2</v>
      </c>
      <c r="C76" s="90" t="s">
        <v>180</v>
      </c>
      <c r="D76" s="80" t="s">
        <v>657</v>
      </c>
      <c r="E76" s="91">
        <f t="shared" si="13"/>
        <v>4045837</v>
      </c>
      <c r="F76" s="9">
        <f>1220534+600000+1000000-534+1225837</f>
        <v>4045837</v>
      </c>
      <c r="G76" s="8">
        <f>819670+1004784</f>
        <v>1824454</v>
      </c>
      <c r="H76" s="15"/>
      <c r="I76" s="15"/>
      <c r="J76" s="9">
        <f t="shared" si="10"/>
        <v>14937626</v>
      </c>
      <c r="K76" s="10">
        <f>17218457-1000000-54994-1225837</f>
        <v>14937626</v>
      </c>
      <c r="L76" s="15"/>
      <c r="M76" s="15"/>
      <c r="N76" s="15"/>
      <c r="O76" s="10">
        <f t="shared" si="12"/>
        <v>14937626</v>
      </c>
      <c r="P76" s="14">
        <f t="shared" si="11"/>
        <v>18983463</v>
      </c>
    </row>
    <row r="77" spans="1:16" ht="25.5" x14ac:dyDescent="0.2">
      <c r="A77" s="99" t="s">
        <v>663</v>
      </c>
      <c r="B77" s="17" t="s">
        <v>72</v>
      </c>
      <c r="C77" s="17" t="s">
        <v>181</v>
      </c>
      <c r="D77" s="18" t="s">
        <v>617</v>
      </c>
      <c r="E77" s="9">
        <f t="shared" si="13"/>
        <v>24818419</v>
      </c>
      <c r="F77" s="10">
        <f>23248900-208681+10000+46000+115000+830000+512200+265000</f>
        <v>24818419</v>
      </c>
      <c r="G77" s="10">
        <f>17026170-171000+580000</f>
        <v>17435170</v>
      </c>
      <c r="H77" s="10">
        <f>1217000+100000+10000+115000+512200+265000</f>
        <v>2219200</v>
      </c>
      <c r="I77" s="10"/>
      <c r="J77" s="9">
        <f>L77+O77</f>
        <v>2550285</v>
      </c>
      <c r="K77" s="10">
        <f>1643000+130000+214205-627170</f>
        <v>1360035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1412635</v>
      </c>
      <c r="P77" s="11">
        <f>E77+J77</f>
        <v>27368704</v>
      </c>
    </row>
    <row r="78" spans="1:16" s="1" customFormat="1" hidden="1" x14ac:dyDescent="0.2">
      <c r="A78" s="100"/>
      <c r="B78" s="19"/>
      <c r="C78" s="19"/>
      <c r="D78" s="16" t="s">
        <v>519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9" t="s">
        <v>241</v>
      </c>
      <c r="B79" s="17" t="s">
        <v>240</v>
      </c>
      <c r="C79" s="17" t="s">
        <v>182</v>
      </c>
      <c r="D79" s="5" t="s">
        <v>664</v>
      </c>
      <c r="E79" s="9">
        <f t="shared" si="13"/>
        <v>1910800</v>
      </c>
      <c r="F79" s="10">
        <f>2153800-243000</f>
        <v>1910800</v>
      </c>
      <c r="G79" s="10">
        <f>1749000-200000</f>
        <v>1549000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1945200</v>
      </c>
    </row>
    <row r="80" spans="1:16" hidden="1" x14ac:dyDescent="0.2">
      <c r="A80" s="99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9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9" t="s">
        <v>241</v>
      </c>
      <c r="B82" s="17" t="s">
        <v>240</v>
      </c>
      <c r="C82" s="17"/>
      <c r="D82" s="37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9" t="s">
        <v>665</v>
      </c>
      <c r="B83" s="17" t="s">
        <v>652</v>
      </c>
      <c r="C83" s="17" t="s">
        <v>182</v>
      </c>
      <c r="D83" s="37" t="s">
        <v>434</v>
      </c>
      <c r="E83" s="9">
        <f t="shared" si="13"/>
        <v>11689200</v>
      </c>
      <c r="F83" s="10">
        <f>11399000+17000+144000+43200+70000+16000</f>
        <v>11689200</v>
      </c>
      <c r="G83" s="10">
        <v>8360960</v>
      </c>
      <c r="H83" s="10">
        <f>569500+45100+144000+43200+70000+16000</f>
        <v>887800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11814400</v>
      </c>
    </row>
    <row r="84" spans="1:16" hidden="1" x14ac:dyDescent="0.2">
      <c r="A84" s="99"/>
      <c r="B84" s="17"/>
      <c r="C84" s="17"/>
      <c r="D84" s="37" t="s">
        <v>584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9"/>
      <c r="B85" s="17"/>
      <c r="C85" s="17"/>
      <c r="D85" s="37" t="s">
        <v>536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9" t="s">
        <v>666</v>
      </c>
      <c r="B86" s="17" t="s">
        <v>653</v>
      </c>
      <c r="C86" s="17" t="s">
        <v>182</v>
      </c>
      <c r="D86" s="37" t="s">
        <v>435</v>
      </c>
      <c r="E86" s="9">
        <f t="shared" si="13"/>
        <v>465070</v>
      </c>
      <c r="F86" s="10">
        <f>278000+7070+50000+100000+90000-60000</f>
        <v>465070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465070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9" t="s">
        <v>668</v>
      </c>
      <c r="B88" s="17" t="s">
        <v>654</v>
      </c>
      <c r="C88" s="17" t="s">
        <v>182</v>
      </c>
      <c r="D88" s="12" t="s">
        <v>667</v>
      </c>
      <c r="E88" s="9">
        <f t="shared" si="13"/>
        <v>298700</v>
      </c>
      <c r="F88" s="9">
        <f>285700+13000</f>
        <v>298700</v>
      </c>
      <c r="G88" s="9">
        <f>638100-446700</f>
        <v>191400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298700</v>
      </c>
    </row>
    <row r="89" spans="1:16" s="1" customFormat="1" ht="25.5" x14ac:dyDescent="0.2">
      <c r="A89" s="100" t="s">
        <v>669</v>
      </c>
      <c r="B89" s="19" t="s">
        <v>655</v>
      </c>
      <c r="C89" s="19" t="s">
        <v>182</v>
      </c>
      <c r="D89" s="12" t="s">
        <v>670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100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1062905</v>
      </c>
      <c r="F90" s="15">
        <f>2434338-400133-971300</f>
        <v>1062905</v>
      </c>
      <c r="G90" s="15">
        <f>1995360-573800-657000</f>
        <v>764560</v>
      </c>
      <c r="H90" s="15"/>
      <c r="I90" s="15"/>
      <c r="J90" s="9">
        <f>L90+O90</f>
        <v>1371300</v>
      </c>
      <c r="K90" s="15">
        <f>O90</f>
        <v>1371300</v>
      </c>
      <c r="L90" s="15"/>
      <c r="M90" s="15"/>
      <c r="N90" s="15"/>
      <c r="O90" s="10">
        <f>400133-133+971300</f>
        <v>1371300</v>
      </c>
      <c r="P90" s="11">
        <f t="shared" si="11"/>
        <v>2434205</v>
      </c>
    </row>
    <row r="91" spans="1:16" ht="38.25" x14ac:dyDescent="0.2">
      <c r="A91" s="99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1140000</v>
      </c>
      <c r="K91" s="10">
        <v>1140000</v>
      </c>
      <c r="L91" s="10"/>
      <c r="M91" s="10"/>
      <c r="N91" s="10"/>
      <c r="O91" s="10">
        <f t="shared" si="12"/>
        <v>1140000</v>
      </c>
      <c r="P91" s="11">
        <f t="shared" si="11"/>
        <v>1140000</v>
      </c>
    </row>
    <row r="92" spans="1:16" ht="38.25" x14ac:dyDescent="0.2">
      <c r="A92" s="99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798157</v>
      </c>
      <c r="F92" s="10">
        <v>798157</v>
      </c>
      <c r="G92" s="10">
        <v>24868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3201800</v>
      </c>
    </row>
    <row r="93" spans="1:16" s="1" customFormat="1" ht="38.25" x14ac:dyDescent="0.2">
      <c r="A93" s="100"/>
      <c r="B93" s="19"/>
      <c r="C93" s="19"/>
      <c r="D93" s="38" t="s">
        <v>44</v>
      </c>
      <c r="E93" s="9">
        <f t="shared" si="13"/>
        <v>798157</v>
      </c>
      <c r="F93" s="15">
        <f>F92</f>
        <v>798157</v>
      </c>
      <c r="G93" s="15">
        <f>G92</f>
        <v>24868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3201800</v>
      </c>
    </row>
    <row r="94" spans="1:16" ht="25.5" x14ac:dyDescent="0.2">
      <c r="A94" s="99" t="s">
        <v>673</v>
      </c>
      <c r="B94" s="17" t="s">
        <v>77</v>
      </c>
      <c r="C94" s="4" t="s">
        <v>182</v>
      </c>
      <c r="D94" s="68" t="s">
        <v>674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100"/>
      <c r="B95" s="19"/>
      <c r="C95" s="3"/>
      <c r="D95" s="32" t="s">
        <v>536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9" t="s">
        <v>14</v>
      </c>
      <c r="B96" s="17" t="s">
        <v>15</v>
      </c>
      <c r="C96" s="4" t="s">
        <v>182</v>
      </c>
      <c r="D96" s="63" t="s">
        <v>17</v>
      </c>
      <c r="E96" s="8">
        <f t="shared" si="13"/>
        <v>408403</v>
      </c>
      <c r="F96" s="9">
        <f>114499+293904</f>
        <v>408403</v>
      </c>
      <c r="G96" s="9">
        <f>93800+240904</f>
        <v>334704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100"/>
      <c r="B97" s="19"/>
      <c r="C97" s="3"/>
      <c r="D97" s="32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7" t="s">
        <v>214</v>
      </c>
      <c r="B98" s="103"/>
      <c r="C98" s="6"/>
      <c r="D98" s="28" t="s">
        <v>136</v>
      </c>
      <c r="E98" s="22">
        <f>E107</f>
        <v>45922296</v>
      </c>
      <c r="F98" s="22">
        <f t="shared" ref="F98:O98" si="14">F107</f>
        <v>45922296</v>
      </c>
      <c r="G98" s="22">
        <f t="shared" si="14"/>
        <v>1939700</v>
      </c>
      <c r="H98" s="22">
        <f t="shared" si="14"/>
        <v>158700</v>
      </c>
      <c r="I98" s="22">
        <f t="shared" si="14"/>
        <v>0</v>
      </c>
      <c r="J98" s="22">
        <f t="shared" si="14"/>
        <v>14766114</v>
      </c>
      <c r="K98" s="22">
        <f>K107</f>
        <v>14657457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14657457</v>
      </c>
      <c r="P98" s="11">
        <f t="shared" si="11"/>
        <v>60688410</v>
      </c>
      <c r="Q98" s="35"/>
      <c r="R98" s="31"/>
    </row>
    <row r="99" spans="1:18" s="1" customFormat="1" hidden="1" x14ac:dyDescent="0.2">
      <c r="A99" s="100"/>
      <c r="B99" s="19"/>
      <c r="C99" s="3"/>
      <c r="D99" s="32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100"/>
      <c r="B100" s="19"/>
      <c r="C100" s="3"/>
      <c r="D100" s="32" t="s">
        <v>503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4891000</v>
      </c>
      <c r="K100" s="15">
        <f>K123+K113+K119+K130</f>
        <v>4891000</v>
      </c>
      <c r="L100" s="15"/>
      <c r="M100" s="15"/>
      <c r="N100" s="15"/>
      <c r="O100" s="15">
        <f>K100</f>
        <v>4891000</v>
      </c>
      <c r="P100" s="14">
        <f t="shared" si="11"/>
        <v>4891000</v>
      </c>
    </row>
    <row r="101" spans="1:18" s="1" customFormat="1" ht="25.5" hidden="1" x14ac:dyDescent="0.2">
      <c r="A101" s="100"/>
      <c r="B101" s="19"/>
      <c r="C101" s="3"/>
      <c r="D101" s="32" t="s">
        <v>516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ht="12.6" customHeight="1" x14ac:dyDescent="0.2">
      <c r="A102" s="100"/>
      <c r="B102" s="19"/>
      <c r="C102" s="3"/>
      <c r="D102" s="32" t="s">
        <v>519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0</v>
      </c>
      <c r="K102" s="15">
        <f>K112</f>
        <v>0</v>
      </c>
      <c r="L102" s="15"/>
      <c r="M102" s="15"/>
      <c r="N102" s="15"/>
      <c r="O102" s="15">
        <f>K102</f>
        <v>0</v>
      </c>
      <c r="P102" s="14">
        <f t="shared" si="11"/>
        <v>320000</v>
      </c>
    </row>
    <row r="103" spans="1:18" s="1" customFormat="1" ht="25.5" x14ac:dyDescent="0.2">
      <c r="A103" s="100"/>
      <c r="B103" s="19"/>
      <c r="C103" s="3"/>
      <c r="D103" s="16" t="s">
        <v>625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>
        <f>K113</f>
        <v>4891000</v>
      </c>
      <c r="L103" s="15"/>
      <c r="M103" s="15"/>
      <c r="N103" s="15"/>
      <c r="O103" s="15">
        <f>O113</f>
        <v>4891000</v>
      </c>
      <c r="P103" s="14">
        <f>P113</f>
        <v>4891000</v>
      </c>
    </row>
    <row r="104" spans="1:18" s="1" customFormat="1" ht="38.25" hidden="1" x14ac:dyDescent="0.2">
      <c r="A104" s="100"/>
      <c r="B104" s="19"/>
      <c r="C104" s="3"/>
      <c r="D104" s="16" t="s">
        <v>619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100"/>
      <c r="B105" s="19"/>
      <c r="C105" s="3"/>
      <c r="D105" s="16" t="s">
        <v>676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100"/>
      <c r="B106" s="19"/>
      <c r="C106" s="3"/>
      <c r="D106" s="32" t="s">
        <v>546</v>
      </c>
      <c r="E106" s="8"/>
      <c r="F106" s="15"/>
      <c r="G106" s="15"/>
      <c r="H106" s="15"/>
      <c r="I106" s="15"/>
      <c r="J106" s="15">
        <f>L106+O106</f>
        <v>347197</v>
      </c>
      <c r="K106" s="15">
        <f>K154</f>
        <v>347197</v>
      </c>
      <c r="L106" s="15"/>
      <c r="M106" s="15"/>
      <c r="N106" s="15"/>
      <c r="O106" s="15">
        <f>K106</f>
        <v>347197</v>
      </c>
      <c r="P106" s="14">
        <f t="shared" si="11"/>
        <v>347197</v>
      </c>
    </row>
    <row r="107" spans="1:18" s="1" customFormat="1" ht="16.5" customHeight="1" x14ac:dyDescent="0.2">
      <c r="A107" s="100" t="s">
        <v>242</v>
      </c>
      <c r="B107" s="19"/>
      <c r="C107" s="3"/>
      <c r="D107" s="13" t="s">
        <v>136</v>
      </c>
      <c r="E107" s="15">
        <f>E108+E109+E115+E121+E125+E133+E142+E148+E143+E144+E126+E135+E151</f>
        <v>45922296</v>
      </c>
      <c r="F107" s="15">
        <f>F108+F109+F115+F121+F125+F133+F142+F148+F143+F144+F126+F135+F151</f>
        <v>45922296</v>
      </c>
      <c r="G107" s="15">
        <f>G108+G109+G115+G121+G125+G133+G142+G148+G143+G144+G126</f>
        <v>1939700</v>
      </c>
      <c r="H107" s="15">
        <f>H108+H109+H115+H121+H125+H133+H142+H148+H143+H144+H126</f>
        <v>158700</v>
      </c>
      <c r="I107" s="15">
        <f>I108+I109+I115+I121+I125+I133+I142+I148+I143+I144+I126</f>
        <v>0</v>
      </c>
      <c r="J107" s="15">
        <f>J108+J109+J115+J121+J125+J133+J142+J148+J143+J126</f>
        <v>14766114</v>
      </c>
      <c r="K107" s="15">
        <f>K108+K109+K115+K121+K125+K133+K142+K148+K153+K126+K143</f>
        <v>14657457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14657457</v>
      </c>
      <c r="P107" s="15">
        <f>P108+P109+P115+P121+P125+P133+P142+P148+P135+P143+P144+P126+P151</f>
        <v>60688410</v>
      </c>
    </row>
    <row r="108" spans="1:18" ht="25.5" x14ac:dyDescent="0.2">
      <c r="A108" s="99" t="s">
        <v>243</v>
      </c>
      <c r="B108" s="4" t="s">
        <v>235</v>
      </c>
      <c r="C108" s="4" t="s">
        <v>163</v>
      </c>
      <c r="D108" s="12" t="s">
        <v>642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</f>
        <v>158700</v>
      </c>
      <c r="I108" s="10"/>
      <c r="J108" s="9">
        <f t="shared" ref="J108:J154" si="16">L108+O108</f>
        <v>3691000</v>
      </c>
      <c r="K108" s="10">
        <f>45000+46000+3600000-221800+221800</f>
        <v>3691000</v>
      </c>
      <c r="L108" s="10"/>
      <c r="M108" s="10"/>
      <c r="N108" s="10"/>
      <c r="O108" s="10">
        <f>K108</f>
        <v>3691000</v>
      </c>
      <c r="P108" s="11">
        <f t="shared" si="11"/>
        <v>6382400</v>
      </c>
    </row>
    <row r="109" spans="1:18" x14ac:dyDescent="0.2">
      <c r="A109" s="99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9002031</v>
      </c>
      <c r="F109" s="10">
        <f>9302911-237680-27000-4000-124700+92500</f>
        <v>9002031</v>
      </c>
      <c r="G109" s="10"/>
      <c r="H109" s="10"/>
      <c r="I109" s="10"/>
      <c r="J109" s="9">
        <f t="shared" si="16"/>
        <v>7125100</v>
      </c>
      <c r="K109" s="10">
        <f>1400000+205000+37300+360000+221800+4891000+10000</f>
        <v>7125100</v>
      </c>
      <c r="L109" s="10"/>
      <c r="M109" s="10"/>
      <c r="N109" s="10"/>
      <c r="O109" s="10">
        <f>K109</f>
        <v>7125100</v>
      </c>
      <c r="P109" s="11">
        <f t="shared" si="11"/>
        <v>16127131</v>
      </c>
    </row>
    <row r="110" spans="1:18" hidden="1" x14ac:dyDescent="0.2">
      <c r="A110" s="99"/>
      <c r="B110" s="4"/>
      <c r="C110" s="4"/>
      <c r="D110" s="32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9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9"/>
      <c r="B112" s="4"/>
      <c r="C112" s="4"/>
      <c r="D112" s="32" t="s">
        <v>519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0</v>
      </c>
      <c r="K112" s="10"/>
      <c r="L112" s="10"/>
      <c r="M112" s="10"/>
      <c r="N112" s="10"/>
      <c r="O112" s="10">
        <f>K112</f>
        <v>0</v>
      </c>
      <c r="P112" s="14">
        <f t="shared" si="11"/>
        <v>287000</v>
      </c>
    </row>
    <row r="113" spans="1:16" ht="25.5" x14ac:dyDescent="0.2">
      <c r="A113" s="99"/>
      <c r="B113" s="4"/>
      <c r="C113" s="4"/>
      <c r="D113" s="32" t="s">
        <v>625</v>
      </c>
      <c r="E113" s="8">
        <f t="shared" si="15"/>
        <v>0</v>
      </c>
      <c r="F113" s="15"/>
      <c r="G113" s="10"/>
      <c r="H113" s="10"/>
      <c r="I113" s="10"/>
      <c r="J113" s="9">
        <f t="shared" si="16"/>
        <v>4891000</v>
      </c>
      <c r="K113" s="10">
        <v>4891000</v>
      </c>
      <c r="L113" s="10"/>
      <c r="M113" s="10"/>
      <c r="N113" s="10"/>
      <c r="O113" s="10">
        <f t="shared" si="17"/>
        <v>4891000</v>
      </c>
      <c r="P113" s="11">
        <f t="shared" si="11"/>
        <v>4891000</v>
      </c>
    </row>
    <row r="114" spans="1:16" ht="25.5" hidden="1" x14ac:dyDescent="0.2">
      <c r="A114" s="99"/>
      <c r="B114" s="4"/>
      <c r="C114" s="4"/>
      <c r="D114" s="16" t="s">
        <v>517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9" t="s">
        <v>246</v>
      </c>
      <c r="B115" s="4" t="s">
        <v>245</v>
      </c>
      <c r="C115" s="4" t="s">
        <v>54</v>
      </c>
      <c r="D115" s="62" t="s">
        <v>139</v>
      </c>
      <c r="E115" s="9">
        <f t="shared" si="15"/>
        <v>17110280</v>
      </c>
      <c r="F115" s="10">
        <f>17602200-156000+515380-756300+33000-360000+232000</f>
        <v>17110280</v>
      </c>
      <c r="G115" s="10"/>
      <c r="H115" s="10"/>
      <c r="I115" s="10"/>
      <c r="J115" s="9">
        <f t="shared" si="16"/>
        <v>2205200</v>
      </c>
      <c r="K115" s="10">
        <f>1559800+156000+370300+90700+38100-9700</f>
        <v>2205200</v>
      </c>
      <c r="L115" s="10"/>
      <c r="M115" s="10"/>
      <c r="N115" s="10"/>
      <c r="O115" s="10">
        <f t="shared" si="17"/>
        <v>2205200</v>
      </c>
      <c r="P115" s="11">
        <f t="shared" si="11"/>
        <v>19315480</v>
      </c>
    </row>
    <row r="116" spans="1:16" hidden="1" x14ac:dyDescent="0.2">
      <c r="A116" s="99"/>
      <c r="B116" s="4"/>
      <c r="C116" s="4"/>
      <c r="D116" s="32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9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9"/>
      <c r="B118" s="4"/>
      <c r="C118" s="4"/>
      <c r="D118" s="32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9"/>
      <c r="B119" s="4"/>
      <c r="C119" s="4"/>
      <c r="D119" s="32" t="s">
        <v>503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9"/>
      <c r="B120" s="4"/>
      <c r="C120" s="4"/>
      <c r="D120" s="16" t="s">
        <v>517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9" t="s">
        <v>585</v>
      </c>
      <c r="B121" s="4" t="s">
        <v>586</v>
      </c>
      <c r="C121" s="4" t="s">
        <v>56</v>
      </c>
      <c r="D121" s="40" t="s">
        <v>587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100"/>
      <c r="B122" s="3"/>
      <c r="C122" s="3"/>
      <c r="D122" s="32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100"/>
      <c r="B123" s="3"/>
      <c r="C123" s="3"/>
      <c r="D123" s="32" t="s">
        <v>503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100"/>
      <c r="B124" s="3"/>
      <c r="C124" s="3"/>
      <c r="D124" s="16" t="s">
        <v>517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9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9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9"/>
      <c r="B127" s="4"/>
      <c r="C127" s="4"/>
      <c r="D127" s="32" t="s">
        <v>519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9"/>
      <c r="B128" s="4"/>
      <c r="C128" s="4"/>
      <c r="D128" s="32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100"/>
      <c r="B129" s="3"/>
      <c r="C129" s="3"/>
      <c r="D129" s="32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100"/>
      <c r="B130" s="3"/>
      <c r="C130" s="3"/>
      <c r="D130" s="32" t="s">
        <v>503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9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9"/>
      <c r="B132" s="4"/>
      <c r="C132" s="4"/>
      <c r="D132" s="32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9" t="s">
        <v>259</v>
      </c>
      <c r="B133" s="4" t="s">
        <v>81</v>
      </c>
      <c r="C133" s="4"/>
      <c r="D133" s="63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100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9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100"/>
      <c r="B136" s="3"/>
      <c r="C136" s="3"/>
      <c r="D136" s="16" t="s">
        <v>625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100"/>
      <c r="B137" s="3"/>
      <c r="C137" s="3"/>
      <c r="D137" s="16" t="s">
        <v>619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100"/>
      <c r="B138" s="3"/>
      <c r="C138" s="3"/>
      <c r="D138" s="16" t="s">
        <v>676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100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100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100"/>
      <c r="B141" s="3"/>
      <c r="C141" s="3"/>
      <c r="D141" s="16" t="s">
        <v>518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9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9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9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5490180</v>
      </c>
      <c r="F144" s="10">
        <f>5051900-7620+250000+195900</f>
        <v>5490180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5490180</v>
      </c>
    </row>
    <row r="145" spans="1:18" hidden="1" x14ac:dyDescent="0.2">
      <c r="A145" s="99"/>
      <c r="B145" s="4"/>
      <c r="C145" s="4"/>
      <c r="D145" s="32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100"/>
      <c r="B146" s="3"/>
      <c r="C146" s="3"/>
      <c r="D146" s="32" t="s">
        <v>519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100"/>
      <c r="B147" s="3"/>
      <c r="C147" s="3"/>
      <c r="D147" s="32" t="s">
        <v>503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9" t="s">
        <v>540</v>
      </c>
      <c r="B148" s="4" t="s">
        <v>528</v>
      </c>
      <c r="C148" s="4"/>
      <c r="D148" s="20" t="s">
        <v>543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1495497</v>
      </c>
      <c r="K148" s="9"/>
      <c r="L148" s="9"/>
      <c r="M148" s="9"/>
      <c r="N148" s="9">
        <f t="shared" si="21"/>
        <v>0</v>
      </c>
      <c r="O148" s="9">
        <f t="shared" si="21"/>
        <v>1495497</v>
      </c>
      <c r="P148" s="14">
        <f t="shared" si="19"/>
        <v>1495497</v>
      </c>
    </row>
    <row r="149" spans="1:18" s="1" customFormat="1" ht="25.5" hidden="1" x14ac:dyDescent="0.2">
      <c r="A149" s="100" t="s">
        <v>551</v>
      </c>
      <c r="B149" s="3" t="s">
        <v>552</v>
      </c>
      <c r="C149" s="3" t="s">
        <v>169</v>
      </c>
      <c r="D149" s="64" t="s">
        <v>553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100"/>
      <c r="B150" s="3"/>
      <c r="C150" s="3"/>
      <c r="D150" s="56" t="s">
        <v>554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9" t="s">
        <v>626</v>
      </c>
      <c r="B151" s="4" t="s">
        <v>453</v>
      </c>
      <c r="C151" s="4" t="s">
        <v>164</v>
      </c>
      <c r="D151" s="59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100"/>
      <c r="B152" s="3"/>
      <c r="C152" s="3"/>
      <c r="D152" s="57" t="s">
        <v>519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100" t="s">
        <v>541</v>
      </c>
      <c r="B153" s="3" t="s">
        <v>542</v>
      </c>
      <c r="C153" s="3" t="s">
        <v>169</v>
      </c>
      <c r="D153" s="63" t="s">
        <v>545</v>
      </c>
      <c r="E153" s="8">
        <f>F153</f>
        <v>0</v>
      </c>
      <c r="F153" s="15"/>
      <c r="G153" s="15"/>
      <c r="H153" s="15"/>
      <c r="I153" s="15"/>
      <c r="J153" s="9">
        <f t="shared" si="16"/>
        <v>1495497</v>
      </c>
      <c r="K153" s="10">
        <f>1162000+347197+46000-50000-19400+9700</f>
        <v>1495497</v>
      </c>
      <c r="L153" s="10"/>
      <c r="M153" s="10"/>
      <c r="N153" s="10"/>
      <c r="O153" s="10">
        <f>K153</f>
        <v>1495497</v>
      </c>
      <c r="P153" s="14">
        <f t="shared" si="19"/>
        <v>1495497</v>
      </c>
    </row>
    <row r="154" spans="1:18" s="1" customFormat="1" ht="25.5" x14ac:dyDescent="0.2">
      <c r="A154" s="100"/>
      <c r="B154" s="3"/>
      <c r="C154" s="3"/>
      <c r="D154" s="32" t="s">
        <v>546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>
        <v>347197</v>
      </c>
      <c r="L154" s="15"/>
      <c r="M154" s="15"/>
      <c r="N154" s="15"/>
      <c r="O154" s="15">
        <f>K154</f>
        <v>347197</v>
      </c>
      <c r="P154" s="14">
        <f t="shared" si="19"/>
        <v>347197</v>
      </c>
    </row>
    <row r="155" spans="1:18" s="1" customFormat="1" hidden="1" x14ac:dyDescent="0.2">
      <c r="A155" s="100" t="s">
        <v>624</v>
      </c>
      <c r="B155" s="3"/>
      <c r="C155" s="3"/>
      <c r="D155" s="59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7" t="s">
        <v>215</v>
      </c>
      <c r="B156" s="103"/>
      <c r="C156" s="6"/>
      <c r="D156" s="28" t="s">
        <v>59</v>
      </c>
      <c r="E156" s="22">
        <f>E158</f>
        <v>52374609</v>
      </c>
      <c r="F156" s="22">
        <f t="shared" ref="F156:P156" si="22">F158</f>
        <v>52374609</v>
      </c>
      <c r="G156" s="22">
        <f t="shared" si="22"/>
        <v>23015599</v>
      </c>
      <c r="H156" s="22">
        <f t="shared" si="22"/>
        <v>641997</v>
      </c>
      <c r="I156" s="22">
        <f t="shared" si="22"/>
        <v>0</v>
      </c>
      <c r="J156" s="22">
        <f t="shared" si="22"/>
        <v>5606447</v>
      </c>
      <c r="K156" s="22">
        <f>K158</f>
        <v>4950576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4950576</v>
      </c>
      <c r="P156" s="22">
        <f t="shared" si="22"/>
        <v>57981056</v>
      </c>
      <c r="R156" s="31"/>
    </row>
    <row r="157" spans="1:18" s="1" customFormat="1" ht="38.25" x14ac:dyDescent="0.2">
      <c r="A157" s="100"/>
      <c r="B157" s="19"/>
      <c r="C157" s="3"/>
      <c r="D157" s="13" t="s">
        <v>47</v>
      </c>
      <c r="E157" s="15">
        <f>E228+E243</f>
        <v>0</v>
      </c>
      <c r="F157" s="15">
        <f>F228+F243</f>
        <v>0</v>
      </c>
      <c r="G157" s="15"/>
      <c r="H157" s="15"/>
      <c r="I157" s="15"/>
      <c r="J157" s="15">
        <f t="shared" ref="J157:O157" si="23">J243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15">
        <f t="shared" ref="P157:P175" si="24">E157+J157</f>
        <v>1500000</v>
      </c>
    </row>
    <row r="158" spans="1:18" ht="25.5" x14ac:dyDescent="0.2">
      <c r="A158" s="99" t="s">
        <v>272</v>
      </c>
      <c r="B158" s="17"/>
      <c r="C158" s="6"/>
      <c r="D158" s="13" t="s">
        <v>59</v>
      </c>
      <c r="E158" s="11">
        <f t="shared" ref="E158:E201" si="25">F158+I158</f>
        <v>52374609</v>
      </c>
      <c r="F158" s="22">
        <f>F159+F161+F163+F168+F170+F177+F178+F179+F180+F182+F184+F186+F188+F190+F192+F194+F198+F202+F204+F206+F208+F210+F212+F215+F217+F218+F220+F221+F223+F227+F229+F232+F233+F240+F244+F246+F242+F238+F225</f>
        <v>52374609</v>
      </c>
      <c r="G158" s="22">
        <f>G159+G161+G163+G168+G170+G177+G178+G179+G180+G182+G184+G186+G188+G190+G192+G194+G198+G202+G204+G206+G208+G210+G212+G215+G217+G218+G220+G221+G223+G227+G229+G232+G233+G240+G244+G246</f>
        <v>23015599</v>
      </c>
      <c r="H158" s="22">
        <f>H159+H161+H163+H168+H170+H177+H178+H179+H180+H182+H184+H186+H188+H190+H192+H194+H198+H202+H204+H206+H208+H210+H212+H215+H217+H218+H220+H221+H223+H227+H229+H232+H233+H240+H244+H246</f>
        <v>641997</v>
      </c>
      <c r="I158" s="22">
        <f>I159+I161+I163+I168+I170+I177+I178+I179+I180+I182+I184+I186+I188+I190+I192+I194+I198+I202+I204+I206+I208+I210+I212+I215+I217+I218+I220+I221+I223+I227+I229+I232+I233+I240+I244+I246</f>
        <v>0</v>
      </c>
      <c r="J158" s="22">
        <f>J159+J217+J244+J242+J236+J238+J225</f>
        <v>5606447</v>
      </c>
      <c r="K158" s="22">
        <f>K159+K244+K242+K236+K238+K225</f>
        <v>4950576</v>
      </c>
      <c r="L158" s="22">
        <f>L217</f>
        <v>655871</v>
      </c>
      <c r="M158" s="22">
        <f>M217</f>
        <v>38353</v>
      </c>
      <c r="N158" s="22">
        <f>N217</f>
        <v>431800</v>
      </c>
      <c r="O158" s="22">
        <f>O159+O160+O167+O176+O181+O200+O214+O219+O222+O227+O229+O231+O233+O240+O242+O245+O235+O244+O236+O238+O225</f>
        <v>4950576</v>
      </c>
      <c r="P158" s="11">
        <f t="shared" si="24"/>
        <v>57981056</v>
      </c>
    </row>
    <row r="159" spans="1:18" ht="25.5" x14ac:dyDescent="0.2">
      <c r="A159" s="99" t="s">
        <v>273</v>
      </c>
      <c r="B159" s="4" t="s">
        <v>235</v>
      </c>
      <c r="C159" s="4" t="s">
        <v>163</v>
      </c>
      <c r="D159" s="12" t="s">
        <v>642</v>
      </c>
      <c r="E159" s="9">
        <f t="shared" si="25"/>
        <v>25943960</v>
      </c>
      <c r="F159" s="10">
        <f>25884200+55210+40000+100000+9500-144950</f>
        <v>25943960</v>
      </c>
      <c r="G159" s="10">
        <f>21310000-1367600</f>
        <v>19942400</v>
      </c>
      <c r="H159" s="10">
        <f>306600+55210+40000+100000+20000+9500</f>
        <v>531310</v>
      </c>
      <c r="I159" s="10"/>
      <c r="J159" s="9">
        <f t="shared" ref="J159:J201" si="26">L159+O159</f>
        <v>100000</v>
      </c>
      <c r="K159" s="10">
        <v>100000</v>
      </c>
      <c r="L159" s="10"/>
      <c r="M159" s="10"/>
      <c r="N159" s="10"/>
      <c r="O159" s="10">
        <f>K159</f>
        <v>100000</v>
      </c>
      <c r="P159" s="11">
        <f t="shared" si="24"/>
        <v>26043960</v>
      </c>
    </row>
    <row r="160" spans="1:18" ht="38.25" hidden="1" x14ac:dyDescent="0.2">
      <c r="A160" s="99" t="s">
        <v>274</v>
      </c>
      <c r="B160" s="17" t="s">
        <v>193</v>
      </c>
      <c r="C160" s="17"/>
      <c r="D160" s="5" t="s">
        <v>140</v>
      </c>
      <c r="E160" s="9">
        <f t="shared" si="25"/>
        <v>0</v>
      </c>
      <c r="F160" s="10"/>
      <c r="G160" s="10"/>
      <c r="H160" s="10"/>
      <c r="I160" s="10">
        <f t="shared" ref="I160:O160" si="27">I161+I163</f>
        <v>0</v>
      </c>
      <c r="J160" s="10">
        <f t="shared" si="27"/>
        <v>0</v>
      </c>
      <c r="K160" s="10"/>
      <c r="L160" s="10"/>
      <c r="M160" s="10"/>
      <c r="N160" s="10"/>
      <c r="O160" s="10">
        <f t="shared" si="27"/>
        <v>0</v>
      </c>
      <c r="P160" s="11">
        <f t="shared" si="24"/>
        <v>0</v>
      </c>
    </row>
    <row r="161" spans="1:16" s="1" customFormat="1" ht="25.5" hidden="1" x14ac:dyDescent="0.2">
      <c r="A161" s="100" t="s">
        <v>276</v>
      </c>
      <c r="B161" s="19" t="s">
        <v>82</v>
      </c>
      <c r="C161" s="65" t="s">
        <v>165</v>
      </c>
      <c r="D161" s="66" t="s">
        <v>275</v>
      </c>
      <c r="E161" s="9">
        <f t="shared" si="25"/>
        <v>0</v>
      </c>
      <c r="F161" s="15"/>
      <c r="G161" s="15"/>
      <c r="H161" s="15"/>
      <c r="I161" s="15"/>
      <c r="J161" s="9">
        <f t="shared" si="26"/>
        <v>0</v>
      </c>
      <c r="K161" s="15"/>
      <c r="L161" s="15"/>
      <c r="M161" s="15"/>
      <c r="N161" s="15"/>
      <c r="O161" s="15"/>
      <c r="P161" s="11">
        <f t="shared" si="24"/>
        <v>0</v>
      </c>
    </row>
    <row r="162" spans="1:16" ht="66.75" hidden="1" customHeight="1" x14ac:dyDescent="0.2">
      <c r="A162" s="99"/>
      <c r="B162" s="17"/>
      <c r="C162" s="67"/>
      <c r="D162" s="5" t="s">
        <v>461</v>
      </c>
      <c r="E162" s="9">
        <f t="shared" si="25"/>
        <v>0</v>
      </c>
      <c r="F162" s="10"/>
      <c r="G162" s="10"/>
      <c r="H162" s="10"/>
      <c r="I162" s="10"/>
      <c r="J162" s="9">
        <f t="shared" si="26"/>
        <v>0</v>
      </c>
      <c r="K162" s="10"/>
      <c r="L162" s="10"/>
      <c r="M162" s="10"/>
      <c r="N162" s="10"/>
      <c r="O162" s="10"/>
      <c r="P162" s="11">
        <f t="shared" si="24"/>
        <v>0</v>
      </c>
    </row>
    <row r="163" spans="1:16" s="1" customFormat="1" ht="25.5" hidden="1" x14ac:dyDescent="0.2">
      <c r="A163" s="100" t="s">
        <v>277</v>
      </c>
      <c r="B163" s="19" t="s">
        <v>83</v>
      </c>
      <c r="C163" s="65" t="s">
        <v>103</v>
      </c>
      <c r="D163" s="16" t="s">
        <v>142</v>
      </c>
      <c r="E163" s="9">
        <f t="shared" si="25"/>
        <v>0</v>
      </c>
      <c r="F163" s="15"/>
      <c r="G163" s="15"/>
      <c r="H163" s="15"/>
      <c r="I163" s="15"/>
      <c r="J163" s="9">
        <f t="shared" si="26"/>
        <v>0</v>
      </c>
      <c r="K163" s="15"/>
      <c r="L163" s="15"/>
      <c r="M163" s="15"/>
      <c r="N163" s="15"/>
      <c r="O163" s="15"/>
      <c r="P163" s="11">
        <f t="shared" si="24"/>
        <v>0</v>
      </c>
    </row>
    <row r="164" spans="1:16" ht="67.5" hidden="1" customHeight="1" x14ac:dyDescent="0.2">
      <c r="A164" s="99"/>
      <c r="B164" s="17"/>
      <c r="C164" s="67"/>
      <c r="D164" s="5" t="s">
        <v>461</v>
      </c>
      <c r="E164" s="9">
        <f t="shared" si="25"/>
        <v>0</v>
      </c>
      <c r="F164" s="10"/>
      <c r="G164" s="10"/>
      <c r="H164" s="10"/>
      <c r="I164" s="10"/>
      <c r="J164" s="9">
        <f t="shared" si="26"/>
        <v>0</v>
      </c>
      <c r="K164" s="10"/>
      <c r="L164" s="10"/>
      <c r="M164" s="10"/>
      <c r="N164" s="10"/>
      <c r="O164" s="10"/>
      <c r="P164" s="11">
        <f t="shared" si="24"/>
        <v>0</v>
      </c>
    </row>
    <row r="165" spans="1:16" ht="25.5" hidden="1" x14ac:dyDescent="0.2">
      <c r="A165" s="99">
        <v>1513017</v>
      </c>
      <c r="B165" s="17" t="s">
        <v>104</v>
      </c>
      <c r="C165" s="17" t="s">
        <v>103</v>
      </c>
      <c r="D165" s="5" t="s">
        <v>105</v>
      </c>
      <c r="E165" s="9">
        <f t="shared" si="25"/>
        <v>0</v>
      </c>
      <c r="F165" s="10"/>
      <c r="G165" s="10"/>
      <c r="H165" s="10"/>
      <c r="I165" s="10"/>
      <c r="J165" s="9">
        <f t="shared" si="26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ht="51" hidden="1" x14ac:dyDescent="0.2">
      <c r="A166" s="99"/>
      <c r="B166" s="17"/>
      <c r="C166" s="17"/>
      <c r="D166" s="5" t="s">
        <v>60</v>
      </c>
      <c r="E166" s="9">
        <f t="shared" si="25"/>
        <v>0</v>
      </c>
      <c r="F166" s="10"/>
      <c r="G166" s="10"/>
      <c r="H166" s="10"/>
      <c r="I166" s="10"/>
      <c r="J166" s="9">
        <f t="shared" si="26"/>
        <v>0</v>
      </c>
      <c r="K166" s="10"/>
      <c r="L166" s="10"/>
      <c r="M166" s="10"/>
      <c r="N166" s="10"/>
      <c r="O166" s="10"/>
      <c r="P166" s="11">
        <f t="shared" si="24"/>
        <v>0</v>
      </c>
    </row>
    <row r="167" spans="1:16" ht="25.5" hidden="1" x14ac:dyDescent="0.2">
      <c r="A167" s="99" t="s">
        <v>278</v>
      </c>
      <c r="B167" s="17" t="s">
        <v>194</v>
      </c>
      <c r="C167" s="17"/>
      <c r="D167" s="5" t="s">
        <v>143</v>
      </c>
      <c r="E167" s="9">
        <f t="shared" si="25"/>
        <v>0</v>
      </c>
      <c r="F167" s="10"/>
      <c r="G167" s="10"/>
      <c r="H167" s="10"/>
      <c r="I167" s="10">
        <f>I168+I170+I172</f>
        <v>0</v>
      </c>
      <c r="J167" s="9">
        <f t="shared" si="26"/>
        <v>0</v>
      </c>
      <c r="K167" s="10"/>
      <c r="L167" s="10"/>
      <c r="M167" s="10"/>
      <c r="N167" s="10"/>
      <c r="O167" s="10">
        <f>O168+O170+O172</f>
        <v>0</v>
      </c>
      <c r="P167" s="11">
        <f t="shared" si="24"/>
        <v>0</v>
      </c>
    </row>
    <row r="168" spans="1:16" s="1" customFormat="1" ht="25.5" hidden="1" x14ac:dyDescent="0.2">
      <c r="A168" s="100" t="s">
        <v>280</v>
      </c>
      <c r="B168" s="19" t="s">
        <v>84</v>
      </c>
      <c r="C168" s="65" t="s">
        <v>165</v>
      </c>
      <c r="D168" s="13" t="s">
        <v>279</v>
      </c>
      <c r="E168" s="9">
        <f t="shared" si="25"/>
        <v>0</v>
      </c>
      <c r="F168" s="15"/>
      <c r="G168" s="15"/>
      <c r="H168" s="15"/>
      <c r="I168" s="15"/>
      <c r="J168" s="9">
        <f t="shared" si="26"/>
        <v>0</v>
      </c>
      <c r="K168" s="15"/>
      <c r="L168" s="15"/>
      <c r="M168" s="15"/>
      <c r="N168" s="15"/>
      <c r="O168" s="15"/>
      <c r="P168" s="11">
        <f t="shared" si="24"/>
        <v>0</v>
      </c>
    </row>
    <row r="169" spans="1:16" ht="42.75" hidden="1" customHeight="1" x14ac:dyDescent="0.2">
      <c r="A169" s="99"/>
      <c r="B169" s="17"/>
      <c r="C169" s="67"/>
      <c r="D169" s="5" t="s">
        <v>462</v>
      </c>
      <c r="E169" s="9">
        <f t="shared" si="25"/>
        <v>0</v>
      </c>
      <c r="F169" s="10"/>
      <c r="G169" s="10"/>
      <c r="H169" s="10"/>
      <c r="I169" s="10"/>
      <c r="J169" s="9">
        <f t="shared" si="26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s="1" customFormat="1" ht="25.5" hidden="1" x14ac:dyDescent="0.2">
      <c r="A170" s="100" t="s">
        <v>281</v>
      </c>
      <c r="B170" s="19" t="s">
        <v>85</v>
      </c>
      <c r="C170" s="65" t="s">
        <v>103</v>
      </c>
      <c r="D170" s="16" t="s">
        <v>144</v>
      </c>
      <c r="E170" s="9">
        <f t="shared" si="25"/>
        <v>0</v>
      </c>
      <c r="F170" s="15"/>
      <c r="G170" s="15"/>
      <c r="H170" s="15"/>
      <c r="I170" s="15"/>
      <c r="J170" s="9">
        <f t="shared" si="26"/>
        <v>0</v>
      </c>
      <c r="K170" s="15"/>
      <c r="L170" s="15"/>
      <c r="M170" s="15"/>
      <c r="N170" s="15"/>
      <c r="O170" s="15"/>
      <c r="P170" s="11">
        <f t="shared" si="24"/>
        <v>0</v>
      </c>
    </row>
    <row r="171" spans="1:16" ht="42" hidden="1" customHeight="1" x14ac:dyDescent="0.2">
      <c r="A171" s="99"/>
      <c r="B171" s="17"/>
      <c r="C171" s="67"/>
      <c r="D171" s="5" t="s">
        <v>462</v>
      </c>
      <c r="E171" s="9">
        <f t="shared" si="25"/>
        <v>0</v>
      </c>
      <c r="F171" s="10"/>
      <c r="G171" s="10"/>
      <c r="H171" s="10"/>
      <c r="I171" s="10"/>
      <c r="J171" s="9">
        <f t="shared" si="26"/>
        <v>0</v>
      </c>
      <c r="K171" s="10"/>
      <c r="L171" s="10"/>
      <c r="M171" s="10"/>
      <c r="N171" s="10"/>
      <c r="O171" s="10"/>
      <c r="P171" s="11">
        <f t="shared" si="24"/>
        <v>0</v>
      </c>
    </row>
    <row r="172" spans="1:16" s="1" customFormat="1" hidden="1" x14ac:dyDescent="0.2">
      <c r="A172" s="100" t="s">
        <v>283</v>
      </c>
      <c r="B172" s="19" t="s">
        <v>86</v>
      </c>
      <c r="C172" s="65" t="s">
        <v>103</v>
      </c>
      <c r="D172" s="16" t="s">
        <v>282</v>
      </c>
      <c r="E172" s="9">
        <f t="shared" si="25"/>
        <v>0</v>
      </c>
      <c r="F172" s="15"/>
      <c r="G172" s="15"/>
      <c r="H172" s="15"/>
      <c r="I172" s="15"/>
      <c r="J172" s="9">
        <f t="shared" si="26"/>
        <v>0</v>
      </c>
      <c r="K172" s="15"/>
      <c r="L172" s="15"/>
      <c r="M172" s="15"/>
      <c r="N172" s="15"/>
      <c r="O172" s="15"/>
      <c r="P172" s="11">
        <f t="shared" si="24"/>
        <v>0</v>
      </c>
    </row>
    <row r="173" spans="1:16" ht="38.25" hidden="1" x14ac:dyDescent="0.2">
      <c r="A173" s="99"/>
      <c r="B173" s="17"/>
      <c r="C173" s="67"/>
      <c r="D173" s="5" t="s">
        <v>73</v>
      </c>
      <c r="E173" s="9">
        <f t="shared" si="25"/>
        <v>0</v>
      </c>
      <c r="F173" s="10"/>
      <c r="G173" s="10"/>
      <c r="H173" s="10"/>
      <c r="I173" s="10"/>
      <c r="J173" s="9">
        <f t="shared" si="26"/>
        <v>0</v>
      </c>
      <c r="K173" s="10"/>
      <c r="L173" s="10"/>
      <c r="M173" s="10"/>
      <c r="N173" s="10"/>
      <c r="O173" s="10"/>
      <c r="P173" s="11">
        <f t="shared" si="24"/>
        <v>0</v>
      </c>
    </row>
    <row r="174" spans="1:16" ht="38.25" hidden="1" x14ac:dyDescent="0.2">
      <c r="A174" s="99">
        <v>1513028</v>
      </c>
      <c r="B174" s="17" t="s">
        <v>107</v>
      </c>
      <c r="C174" s="4" t="s">
        <v>103</v>
      </c>
      <c r="D174" s="20" t="s">
        <v>145</v>
      </c>
      <c r="E174" s="9">
        <f t="shared" si="25"/>
        <v>0</v>
      </c>
      <c r="F174" s="10"/>
      <c r="G174" s="10"/>
      <c r="H174" s="10"/>
      <c r="I174" s="10"/>
      <c r="J174" s="9">
        <f t="shared" si="26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ht="38.25" hidden="1" x14ac:dyDescent="0.2">
      <c r="A175" s="99"/>
      <c r="B175" s="17"/>
      <c r="C175" s="4"/>
      <c r="D175" s="5" t="s">
        <v>73</v>
      </c>
      <c r="E175" s="9">
        <f t="shared" si="25"/>
        <v>0</v>
      </c>
      <c r="F175" s="10"/>
      <c r="G175" s="10"/>
      <c r="H175" s="10"/>
      <c r="I175" s="10">
        <f>I174</f>
        <v>0</v>
      </c>
      <c r="J175" s="9">
        <f t="shared" si="26"/>
        <v>0</v>
      </c>
      <c r="K175" s="10"/>
      <c r="L175" s="10"/>
      <c r="M175" s="10"/>
      <c r="N175" s="10"/>
      <c r="O175" s="10">
        <f>O174</f>
        <v>0</v>
      </c>
      <c r="P175" s="11">
        <f t="shared" si="24"/>
        <v>0</v>
      </c>
    </row>
    <row r="176" spans="1:16" ht="38.25" hidden="1" x14ac:dyDescent="0.2">
      <c r="A176" s="99" t="s">
        <v>285</v>
      </c>
      <c r="B176" s="17" t="s">
        <v>199</v>
      </c>
      <c r="C176" s="4"/>
      <c r="D176" s="5" t="s">
        <v>284</v>
      </c>
      <c r="E176" s="9">
        <f>SUM(E177:E180)</f>
        <v>843200</v>
      </c>
      <c r="F176" s="9"/>
      <c r="G176" s="9"/>
      <c r="H176" s="9"/>
      <c r="I176" s="9">
        <f>SUM(I177:I180)</f>
        <v>0</v>
      </c>
      <c r="J176" s="9">
        <f>SUM(J177:J180)</f>
        <v>0</v>
      </c>
      <c r="K176" s="9"/>
      <c r="L176" s="9"/>
      <c r="M176" s="9"/>
      <c r="N176" s="9"/>
      <c r="O176" s="9">
        <f>SUM(O177:O180)</f>
        <v>0</v>
      </c>
      <c r="P176" s="11">
        <f>SUM(P177:P180)</f>
        <v>843200</v>
      </c>
    </row>
    <row r="177" spans="1:16" x14ac:dyDescent="0.2">
      <c r="A177" s="99" t="s">
        <v>287</v>
      </c>
      <c r="B177" s="17" t="s">
        <v>200</v>
      </c>
      <c r="C177" s="4" t="s">
        <v>165</v>
      </c>
      <c r="D177" s="5" t="s">
        <v>286</v>
      </c>
      <c r="E177" s="9">
        <f>F177+I177</f>
        <v>171200</v>
      </c>
      <c r="F177" s="10">
        <f>184200-13000</f>
        <v>171200</v>
      </c>
      <c r="G177" s="10"/>
      <c r="H177" s="10"/>
      <c r="I177" s="10"/>
      <c r="J177" s="9">
        <f>L177+O177</f>
        <v>0</v>
      </c>
      <c r="K177" s="10"/>
      <c r="L177" s="10"/>
      <c r="M177" s="10"/>
      <c r="N177" s="10"/>
      <c r="O177" s="10"/>
      <c r="P177" s="11">
        <f t="shared" ref="P177:P247" si="28">E177+J177</f>
        <v>171200</v>
      </c>
    </row>
    <row r="178" spans="1:16" x14ac:dyDescent="0.2">
      <c r="A178" s="99" t="s">
        <v>289</v>
      </c>
      <c r="B178" s="17" t="s">
        <v>288</v>
      </c>
      <c r="C178" s="4" t="s">
        <v>72</v>
      </c>
      <c r="D178" s="5" t="s">
        <v>202</v>
      </c>
      <c r="E178" s="9">
        <f>F178+I178</f>
        <v>12000</v>
      </c>
      <c r="F178" s="10">
        <v>12000</v>
      </c>
      <c r="G178" s="10"/>
      <c r="H178" s="10"/>
      <c r="I178" s="10"/>
      <c r="J178" s="9">
        <f>L178+O178</f>
        <v>0</v>
      </c>
      <c r="K178" s="10"/>
      <c r="L178" s="10"/>
      <c r="M178" s="10"/>
      <c r="N178" s="10"/>
      <c r="O178" s="10"/>
      <c r="P178" s="11">
        <f t="shared" si="28"/>
        <v>12000</v>
      </c>
    </row>
    <row r="179" spans="1:16" ht="25.5" hidden="1" x14ac:dyDescent="0.2">
      <c r="A179" s="99" t="s">
        <v>291</v>
      </c>
      <c r="B179" s="17" t="s">
        <v>201</v>
      </c>
      <c r="C179" s="4" t="s">
        <v>72</v>
      </c>
      <c r="D179" s="5" t="s">
        <v>290</v>
      </c>
      <c r="E179" s="9">
        <f>F179+I179</f>
        <v>0</v>
      </c>
      <c r="F179" s="10"/>
      <c r="G179" s="10"/>
      <c r="H179" s="10"/>
      <c r="I179" s="10"/>
      <c r="J179" s="9">
        <f>L179+O179</f>
        <v>0</v>
      </c>
      <c r="K179" s="10"/>
      <c r="L179" s="10"/>
      <c r="M179" s="10"/>
      <c r="N179" s="10"/>
      <c r="O179" s="10"/>
      <c r="P179" s="11">
        <f t="shared" si="28"/>
        <v>0</v>
      </c>
    </row>
    <row r="180" spans="1:16" ht="25.5" x14ac:dyDescent="0.2">
      <c r="A180" s="99" t="s">
        <v>293</v>
      </c>
      <c r="B180" s="17" t="s">
        <v>292</v>
      </c>
      <c r="C180" s="4" t="s">
        <v>72</v>
      </c>
      <c r="D180" s="5" t="s">
        <v>203</v>
      </c>
      <c r="E180" s="9">
        <f>F180+I180</f>
        <v>660000</v>
      </c>
      <c r="F180" s="10">
        <f>600000+60000</f>
        <v>660000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si="28"/>
        <v>660000</v>
      </c>
    </row>
    <row r="181" spans="1:16" ht="25.5" hidden="1" x14ac:dyDescent="0.2">
      <c r="A181" s="99" t="s">
        <v>294</v>
      </c>
      <c r="B181" s="17" t="s">
        <v>195</v>
      </c>
      <c r="C181" s="17"/>
      <c r="D181" s="12" t="s">
        <v>466</v>
      </c>
      <c r="E181" s="9">
        <f t="shared" si="25"/>
        <v>0</v>
      </c>
      <c r="F181" s="10"/>
      <c r="G181" s="10"/>
      <c r="H181" s="10"/>
      <c r="I181" s="10">
        <f>I182+I184+I186+I188+I190+I192+I194+I196+I198</f>
        <v>0</v>
      </c>
      <c r="J181" s="9">
        <f t="shared" si="26"/>
        <v>0</v>
      </c>
      <c r="K181" s="10"/>
      <c r="L181" s="10"/>
      <c r="M181" s="10"/>
      <c r="N181" s="10"/>
      <c r="O181" s="10">
        <f>O182+O184+O186+O188+O190+O192+O194+O196+O198</f>
        <v>0</v>
      </c>
      <c r="P181" s="11">
        <f t="shared" si="28"/>
        <v>0</v>
      </c>
    </row>
    <row r="182" spans="1:16" hidden="1" x14ac:dyDescent="0.2">
      <c r="A182" s="99" t="s">
        <v>296</v>
      </c>
      <c r="B182" s="17" t="s">
        <v>87</v>
      </c>
      <c r="C182" s="17" t="s">
        <v>51</v>
      </c>
      <c r="D182" s="5" t="s">
        <v>295</v>
      </c>
      <c r="E182" s="9">
        <f t="shared" si="25"/>
        <v>0</v>
      </c>
      <c r="F182" s="10"/>
      <c r="G182" s="10"/>
      <c r="H182" s="10"/>
      <c r="I182" s="10"/>
      <c r="J182" s="9">
        <f t="shared" si="26"/>
        <v>0</v>
      </c>
      <c r="K182" s="10"/>
      <c r="L182" s="10"/>
      <c r="M182" s="10"/>
      <c r="N182" s="10"/>
      <c r="O182" s="10"/>
      <c r="P182" s="11">
        <f t="shared" si="28"/>
        <v>0</v>
      </c>
    </row>
    <row r="183" spans="1:16" ht="114.75" hidden="1" x14ac:dyDescent="0.2">
      <c r="A183" s="99"/>
      <c r="B183" s="17"/>
      <c r="C183" s="17"/>
      <c r="D183" s="5" t="s">
        <v>463</v>
      </c>
      <c r="E183" s="9">
        <f t="shared" si="25"/>
        <v>0</v>
      </c>
      <c r="F183" s="10"/>
      <c r="G183" s="10"/>
      <c r="H183" s="10"/>
      <c r="I183" s="10"/>
      <c r="J183" s="9">
        <f t="shared" si="26"/>
        <v>0</v>
      </c>
      <c r="K183" s="10"/>
      <c r="L183" s="10"/>
      <c r="M183" s="10"/>
      <c r="N183" s="10"/>
      <c r="O183" s="10"/>
      <c r="P183" s="11">
        <f t="shared" si="28"/>
        <v>0</v>
      </c>
    </row>
    <row r="184" spans="1:16" hidden="1" x14ac:dyDescent="0.2">
      <c r="A184" s="99" t="s">
        <v>297</v>
      </c>
      <c r="B184" s="17" t="s">
        <v>88</v>
      </c>
      <c r="C184" s="17" t="s">
        <v>51</v>
      </c>
      <c r="D184" s="18" t="s">
        <v>150</v>
      </c>
      <c r="E184" s="9">
        <f t="shared" si="25"/>
        <v>0</v>
      </c>
      <c r="F184" s="10"/>
      <c r="G184" s="10"/>
      <c r="H184" s="10"/>
      <c r="I184" s="10"/>
      <c r="J184" s="9">
        <f t="shared" si="26"/>
        <v>0</v>
      </c>
      <c r="K184" s="10"/>
      <c r="L184" s="10"/>
      <c r="M184" s="10"/>
      <c r="N184" s="10"/>
      <c r="O184" s="10"/>
      <c r="P184" s="11">
        <f t="shared" si="28"/>
        <v>0</v>
      </c>
    </row>
    <row r="185" spans="1:16" ht="114.75" hidden="1" x14ac:dyDescent="0.2">
      <c r="A185" s="99"/>
      <c r="B185" s="17"/>
      <c r="C185" s="17"/>
      <c r="D185" s="5" t="s">
        <v>463</v>
      </c>
      <c r="E185" s="9">
        <f t="shared" si="25"/>
        <v>0</v>
      </c>
      <c r="F185" s="10"/>
      <c r="G185" s="10"/>
      <c r="H185" s="10"/>
      <c r="I185" s="10"/>
      <c r="J185" s="9">
        <f t="shared" si="26"/>
        <v>0</v>
      </c>
      <c r="K185" s="10"/>
      <c r="L185" s="10"/>
      <c r="M185" s="10"/>
      <c r="N185" s="10"/>
      <c r="O185" s="10"/>
      <c r="P185" s="11">
        <f t="shared" si="28"/>
        <v>0</v>
      </c>
    </row>
    <row r="186" spans="1:16" hidden="1" x14ac:dyDescent="0.2">
      <c r="A186" s="99" t="s">
        <v>298</v>
      </c>
      <c r="B186" s="17" t="s">
        <v>89</v>
      </c>
      <c r="C186" s="17" t="s">
        <v>51</v>
      </c>
      <c r="D186" s="18" t="s">
        <v>146</v>
      </c>
      <c r="E186" s="9">
        <f t="shared" si="25"/>
        <v>0</v>
      </c>
      <c r="F186" s="10"/>
      <c r="G186" s="10"/>
      <c r="H186" s="10"/>
      <c r="I186" s="10"/>
      <c r="J186" s="9">
        <f t="shared" si="26"/>
        <v>0</v>
      </c>
      <c r="K186" s="10"/>
      <c r="L186" s="10"/>
      <c r="M186" s="10"/>
      <c r="N186" s="10"/>
      <c r="O186" s="10"/>
      <c r="P186" s="11">
        <f t="shared" si="28"/>
        <v>0</v>
      </c>
    </row>
    <row r="187" spans="1:16" ht="114.75" hidden="1" x14ac:dyDescent="0.2">
      <c r="A187" s="99"/>
      <c r="B187" s="17"/>
      <c r="C187" s="17"/>
      <c r="D187" s="5" t="s">
        <v>463</v>
      </c>
      <c r="E187" s="9">
        <f t="shared" si="25"/>
        <v>0</v>
      </c>
      <c r="F187" s="10"/>
      <c r="G187" s="10"/>
      <c r="H187" s="10"/>
      <c r="I187" s="10"/>
      <c r="J187" s="9">
        <f t="shared" si="26"/>
        <v>0</v>
      </c>
      <c r="K187" s="10"/>
      <c r="L187" s="10"/>
      <c r="M187" s="10"/>
      <c r="N187" s="10"/>
      <c r="O187" s="10"/>
      <c r="P187" s="11">
        <f t="shared" si="28"/>
        <v>0</v>
      </c>
    </row>
    <row r="188" spans="1:16" hidden="1" x14ac:dyDescent="0.2">
      <c r="A188" s="99" t="s">
        <v>299</v>
      </c>
      <c r="B188" s="17" t="s">
        <v>90</v>
      </c>
      <c r="C188" s="17" t="s">
        <v>51</v>
      </c>
      <c r="D188" s="20" t="s">
        <v>147</v>
      </c>
      <c r="E188" s="9">
        <f t="shared" si="25"/>
        <v>0</v>
      </c>
      <c r="F188" s="10"/>
      <c r="G188" s="10"/>
      <c r="H188" s="10"/>
      <c r="I188" s="10"/>
      <c r="J188" s="9">
        <f t="shared" si="26"/>
        <v>0</v>
      </c>
      <c r="K188" s="10"/>
      <c r="L188" s="10"/>
      <c r="M188" s="10"/>
      <c r="N188" s="10"/>
      <c r="O188" s="10"/>
      <c r="P188" s="11">
        <f t="shared" si="28"/>
        <v>0</v>
      </c>
    </row>
    <row r="189" spans="1:16" ht="114.75" hidden="1" x14ac:dyDescent="0.2">
      <c r="A189" s="99"/>
      <c r="B189" s="17"/>
      <c r="C189" s="17"/>
      <c r="D189" s="5" t="s">
        <v>463</v>
      </c>
      <c r="E189" s="9">
        <f t="shared" si="25"/>
        <v>0</v>
      </c>
      <c r="F189" s="10"/>
      <c r="G189" s="10"/>
      <c r="H189" s="10"/>
      <c r="I189" s="10"/>
      <c r="J189" s="9">
        <f t="shared" si="26"/>
        <v>0</v>
      </c>
      <c r="K189" s="10"/>
      <c r="L189" s="10"/>
      <c r="M189" s="10"/>
      <c r="N189" s="10"/>
      <c r="O189" s="10"/>
      <c r="P189" s="11">
        <f t="shared" si="28"/>
        <v>0</v>
      </c>
    </row>
    <row r="190" spans="1:16" hidden="1" x14ac:dyDescent="0.2">
      <c r="A190" s="99" t="s">
        <v>300</v>
      </c>
      <c r="B190" s="17" t="s">
        <v>91</v>
      </c>
      <c r="C190" s="17" t="s">
        <v>51</v>
      </c>
      <c r="D190" s="5" t="s">
        <v>148</v>
      </c>
      <c r="E190" s="9">
        <f t="shared" si="25"/>
        <v>0</v>
      </c>
      <c r="F190" s="10"/>
      <c r="G190" s="10"/>
      <c r="H190" s="10"/>
      <c r="I190" s="10"/>
      <c r="J190" s="9">
        <f t="shared" si="26"/>
        <v>0</v>
      </c>
      <c r="K190" s="10"/>
      <c r="L190" s="10"/>
      <c r="M190" s="10"/>
      <c r="N190" s="10"/>
      <c r="O190" s="10"/>
      <c r="P190" s="11">
        <f t="shared" si="28"/>
        <v>0</v>
      </c>
    </row>
    <row r="191" spans="1:16" ht="114.75" hidden="1" x14ac:dyDescent="0.2">
      <c r="A191" s="99"/>
      <c r="B191" s="17"/>
      <c r="C191" s="17"/>
      <c r="D191" s="5" t="s">
        <v>463</v>
      </c>
      <c r="E191" s="9">
        <f t="shared" si="25"/>
        <v>0</v>
      </c>
      <c r="F191" s="10"/>
      <c r="G191" s="10"/>
      <c r="H191" s="10"/>
      <c r="I191" s="10"/>
      <c r="J191" s="9">
        <f t="shared" si="26"/>
        <v>0</v>
      </c>
      <c r="K191" s="10"/>
      <c r="L191" s="10"/>
      <c r="M191" s="10"/>
      <c r="N191" s="10"/>
      <c r="O191" s="10"/>
      <c r="P191" s="11">
        <f t="shared" si="28"/>
        <v>0</v>
      </c>
    </row>
    <row r="192" spans="1:16" hidden="1" x14ac:dyDescent="0.2">
      <c r="A192" s="99" t="s">
        <v>301</v>
      </c>
      <c r="B192" s="17" t="s">
        <v>92</v>
      </c>
      <c r="C192" s="17" t="s">
        <v>51</v>
      </c>
      <c r="D192" s="5" t="s">
        <v>149</v>
      </c>
      <c r="E192" s="9">
        <f t="shared" si="25"/>
        <v>0</v>
      </c>
      <c r="F192" s="10"/>
      <c r="G192" s="10"/>
      <c r="H192" s="10"/>
      <c r="I192" s="10"/>
      <c r="J192" s="9">
        <f t="shared" si="26"/>
        <v>0</v>
      </c>
      <c r="K192" s="10"/>
      <c r="L192" s="10"/>
      <c r="M192" s="10"/>
      <c r="N192" s="10"/>
      <c r="O192" s="10"/>
      <c r="P192" s="11">
        <f t="shared" si="28"/>
        <v>0</v>
      </c>
    </row>
    <row r="193" spans="1:16" ht="114.75" hidden="1" x14ac:dyDescent="0.2">
      <c r="A193" s="99"/>
      <c r="B193" s="17"/>
      <c r="C193" s="17"/>
      <c r="D193" s="5" t="s">
        <v>463</v>
      </c>
      <c r="E193" s="9">
        <f t="shared" si="25"/>
        <v>0</v>
      </c>
      <c r="F193" s="10"/>
      <c r="G193" s="10"/>
      <c r="H193" s="10"/>
      <c r="I193" s="10"/>
      <c r="J193" s="9">
        <f t="shared" si="26"/>
        <v>0</v>
      </c>
      <c r="K193" s="10"/>
      <c r="L193" s="10"/>
      <c r="M193" s="10"/>
      <c r="N193" s="10"/>
      <c r="O193" s="10"/>
      <c r="P193" s="11">
        <f t="shared" si="28"/>
        <v>0</v>
      </c>
    </row>
    <row r="194" spans="1:16" hidden="1" x14ac:dyDescent="0.2">
      <c r="A194" s="99" t="s">
        <v>302</v>
      </c>
      <c r="B194" s="17" t="s">
        <v>93</v>
      </c>
      <c r="C194" s="17" t="s">
        <v>51</v>
      </c>
      <c r="D194" s="41" t="s">
        <v>467</v>
      </c>
      <c r="E194" s="9">
        <f>F194+I194</f>
        <v>0</v>
      </c>
      <c r="F194" s="10"/>
      <c r="G194" s="10"/>
      <c r="H194" s="10"/>
      <c r="I194" s="10"/>
      <c r="J194" s="9">
        <f t="shared" si="26"/>
        <v>0</v>
      </c>
      <c r="K194" s="10"/>
      <c r="L194" s="10"/>
      <c r="M194" s="10"/>
      <c r="N194" s="10"/>
      <c r="O194" s="10"/>
      <c r="P194" s="11">
        <f t="shared" si="28"/>
        <v>0</v>
      </c>
    </row>
    <row r="195" spans="1:16" ht="114.75" hidden="1" x14ac:dyDescent="0.2">
      <c r="A195" s="99"/>
      <c r="B195" s="17"/>
      <c r="C195" s="17"/>
      <c r="D195" s="5" t="s">
        <v>463</v>
      </c>
      <c r="E195" s="9">
        <f>F195+I195</f>
        <v>0</v>
      </c>
      <c r="F195" s="10"/>
      <c r="G195" s="10"/>
      <c r="H195" s="10"/>
      <c r="I195" s="10"/>
      <c r="J195" s="9">
        <f t="shared" si="26"/>
        <v>0</v>
      </c>
      <c r="K195" s="10"/>
      <c r="L195" s="10"/>
      <c r="M195" s="10"/>
      <c r="N195" s="10"/>
      <c r="O195" s="10"/>
      <c r="P195" s="11">
        <f t="shared" si="28"/>
        <v>0</v>
      </c>
    </row>
    <row r="196" spans="1:16" hidden="1" x14ac:dyDescent="0.2">
      <c r="A196" s="99" t="s">
        <v>304</v>
      </c>
      <c r="B196" s="17" t="s">
        <v>94</v>
      </c>
      <c r="C196" s="17" t="s">
        <v>51</v>
      </c>
      <c r="D196" s="5" t="s">
        <v>303</v>
      </c>
      <c r="E196" s="9">
        <f t="shared" si="25"/>
        <v>0</v>
      </c>
      <c r="F196" s="10"/>
      <c r="G196" s="10"/>
      <c r="H196" s="10"/>
      <c r="I196" s="10"/>
      <c r="J196" s="9">
        <f t="shared" si="26"/>
        <v>0</v>
      </c>
      <c r="K196" s="10"/>
      <c r="L196" s="10"/>
      <c r="M196" s="10"/>
      <c r="N196" s="10"/>
      <c r="O196" s="10"/>
      <c r="P196" s="11">
        <f t="shared" si="28"/>
        <v>0</v>
      </c>
    </row>
    <row r="197" spans="1:16" ht="114.75" hidden="1" x14ac:dyDescent="0.2">
      <c r="A197" s="99"/>
      <c r="B197" s="17"/>
      <c r="C197" s="17"/>
      <c r="D197" s="5" t="s">
        <v>463</v>
      </c>
      <c r="E197" s="9">
        <f t="shared" si="25"/>
        <v>0</v>
      </c>
      <c r="F197" s="10"/>
      <c r="G197" s="10"/>
      <c r="H197" s="10"/>
      <c r="I197" s="10"/>
      <c r="J197" s="9">
        <f t="shared" si="26"/>
        <v>0</v>
      </c>
      <c r="K197" s="10"/>
      <c r="L197" s="10"/>
      <c r="M197" s="10"/>
      <c r="N197" s="10"/>
      <c r="O197" s="10"/>
      <c r="P197" s="11">
        <f t="shared" si="28"/>
        <v>0</v>
      </c>
    </row>
    <row r="198" spans="1:16" ht="20.25" hidden="1" customHeight="1" x14ac:dyDescent="0.2">
      <c r="A198" s="99" t="s">
        <v>305</v>
      </c>
      <c r="B198" s="17" t="s">
        <v>95</v>
      </c>
      <c r="C198" s="17" t="s">
        <v>51</v>
      </c>
      <c r="D198" s="5" t="s">
        <v>592</v>
      </c>
      <c r="E198" s="9">
        <f t="shared" si="25"/>
        <v>0</v>
      </c>
      <c r="F198" s="10"/>
      <c r="G198" s="10"/>
      <c r="H198" s="10"/>
      <c r="I198" s="10"/>
      <c r="J198" s="9">
        <f t="shared" si="26"/>
        <v>0</v>
      </c>
      <c r="K198" s="10"/>
      <c r="L198" s="10"/>
      <c r="M198" s="10"/>
      <c r="N198" s="10"/>
      <c r="O198" s="10"/>
      <c r="P198" s="11">
        <f t="shared" si="28"/>
        <v>0</v>
      </c>
    </row>
    <row r="199" spans="1:16" ht="114.75" hidden="1" x14ac:dyDescent="0.2">
      <c r="A199" s="99"/>
      <c r="B199" s="17"/>
      <c r="C199" s="17" t="s">
        <v>109</v>
      </c>
      <c r="D199" s="5" t="s">
        <v>463</v>
      </c>
      <c r="E199" s="9">
        <f t="shared" si="25"/>
        <v>0</v>
      </c>
      <c r="F199" s="10"/>
      <c r="G199" s="10"/>
      <c r="H199" s="10"/>
      <c r="I199" s="10"/>
      <c r="J199" s="9">
        <f t="shared" si="26"/>
        <v>0</v>
      </c>
      <c r="K199" s="10"/>
      <c r="L199" s="10"/>
      <c r="M199" s="10"/>
      <c r="N199" s="10"/>
      <c r="O199" s="10"/>
      <c r="P199" s="11">
        <f t="shared" si="28"/>
        <v>0</v>
      </c>
    </row>
    <row r="200" spans="1:16" ht="76.5" hidden="1" x14ac:dyDescent="0.2">
      <c r="A200" s="99" t="s">
        <v>306</v>
      </c>
      <c r="B200" s="17" t="s">
        <v>96</v>
      </c>
      <c r="C200" s="17"/>
      <c r="D200" s="5" t="s">
        <v>490</v>
      </c>
      <c r="E200" s="9">
        <f t="shared" si="25"/>
        <v>0</v>
      </c>
      <c r="F200" s="10"/>
      <c r="G200" s="10"/>
      <c r="H200" s="10"/>
      <c r="I200" s="10"/>
      <c r="J200" s="9">
        <f t="shared" si="26"/>
        <v>0</v>
      </c>
      <c r="K200" s="10"/>
      <c r="L200" s="10"/>
      <c r="M200" s="10"/>
      <c r="N200" s="10"/>
      <c r="O200" s="10"/>
      <c r="P200" s="11">
        <f t="shared" si="28"/>
        <v>0</v>
      </c>
    </row>
    <row r="201" spans="1:16" hidden="1" x14ac:dyDescent="0.2">
      <c r="A201" s="99"/>
      <c r="B201" s="17"/>
      <c r="C201" s="17"/>
      <c r="D201" s="5"/>
      <c r="E201" s="9">
        <f t="shared" si="25"/>
        <v>0</v>
      </c>
      <c r="F201" s="10"/>
      <c r="G201" s="10"/>
      <c r="H201" s="10"/>
      <c r="I201" s="10"/>
      <c r="J201" s="9">
        <f t="shared" si="26"/>
        <v>0</v>
      </c>
      <c r="K201" s="10"/>
      <c r="L201" s="10"/>
      <c r="M201" s="10"/>
      <c r="N201" s="10"/>
      <c r="O201" s="10"/>
      <c r="P201" s="11">
        <f t="shared" si="28"/>
        <v>0</v>
      </c>
    </row>
    <row r="202" spans="1:16" ht="25.5" hidden="1" x14ac:dyDescent="0.2">
      <c r="A202" s="99" t="s">
        <v>479</v>
      </c>
      <c r="B202" s="17" t="s">
        <v>474</v>
      </c>
      <c r="C202" s="17" t="s">
        <v>106</v>
      </c>
      <c r="D202" s="5" t="s">
        <v>484</v>
      </c>
      <c r="E202" s="9">
        <f>F202+J202</f>
        <v>0</v>
      </c>
      <c r="F202" s="10"/>
      <c r="G202" s="10"/>
      <c r="H202" s="10"/>
      <c r="I202" s="10"/>
      <c r="J202" s="9"/>
      <c r="K202" s="10"/>
      <c r="L202" s="10"/>
      <c r="M202" s="10"/>
      <c r="N202" s="10"/>
      <c r="O202" s="10"/>
      <c r="P202" s="11">
        <f t="shared" si="28"/>
        <v>0</v>
      </c>
    </row>
    <row r="203" spans="1:16" ht="114.75" hidden="1" x14ac:dyDescent="0.2">
      <c r="A203" s="99"/>
      <c r="B203" s="17"/>
      <c r="C203" s="17"/>
      <c r="D203" s="5" t="s">
        <v>463</v>
      </c>
      <c r="E203" s="9">
        <f t="shared" ref="E203:E211" si="29">F203+J203</f>
        <v>0</v>
      </c>
      <c r="F203" s="10"/>
      <c r="G203" s="10"/>
      <c r="H203" s="10"/>
      <c r="I203" s="10"/>
      <c r="J203" s="9"/>
      <c r="K203" s="10"/>
      <c r="L203" s="10"/>
      <c r="M203" s="10"/>
      <c r="N203" s="10"/>
      <c r="O203" s="10"/>
      <c r="P203" s="11">
        <f t="shared" si="28"/>
        <v>0</v>
      </c>
    </row>
    <row r="204" spans="1:16" ht="25.5" hidden="1" x14ac:dyDescent="0.2">
      <c r="A204" s="99" t="s">
        <v>480</v>
      </c>
      <c r="B204" s="17" t="s">
        <v>475</v>
      </c>
      <c r="C204" s="17" t="s">
        <v>106</v>
      </c>
      <c r="D204" s="5" t="s">
        <v>485</v>
      </c>
      <c r="E204" s="9">
        <f t="shared" si="29"/>
        <v>0</v>
      </c>
      <c r="F204" s="10"/>
      <c r="G204" s="10"/>
      <c r="H204" s="10"/>
      <c r="I204" s="10"/>
      <c r="J204" s="9"/>
      <c r="K204" s="10"/>
      <c r="L204" s="10"/>
      <c r="M204" s="10"/>
      <c r="N204" s="10"/>
      <c r="O204" s="10"/>
      <c r="P204" s="11">
        <f t="shared" si="28"/>
        <v>0</v>
      </c>
    </row>
    <row r="205" spans="1:16" ht="114.75" hidden="1" x14ac:dyDescent="0.2">
      <c r="A205" s="99"/>
      <c r="B205" s="17"/>
      <c r="C205" s="17"/>
      <c r="D205" s="5" t="s">
        <v>463</v>
      </c>
      <c r="E205" s="9">
        <f t="shared" si="29"/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28"/>
        <v>0</v>
      </c>
    </row>
    <row r="206" spans="1:16" ht="25.5" hidden="1" x14ac:dyDescent="0.2">
      <c r="A206" s="99" t="s">
        <v>481</v>
      </c>
      <c r="B206" s="17" t="s">
        <v>476</v>
      </c>
      <c r="C206" s="17" t="s">
        <v>106</v>
      </c>
      <c r="D206" s="5" t="s">
        <v>486</v>
      </c>
      <c r="E206" s="9">
        <f t="shared" si="29"/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28"/>
        <v>0</v>
      </c>
    </row>
    <row r="207" spans="1:16" ht="114.75" hidden="1" x14ac:dyDescent="0.2">
      <c r="A207" s="99"/>
      <c r="B207" s="17"/>
      <c r="C207" s="17"/>
      <c r="D207" s="5" t="s">
        <v>463</v>
      </c>
      <c r="E207" s="9">
        <f t="shared" si="29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28"/>
        <v>0</v>
      </c>
    </row>
    <row r="208" spans="1:16" ht="25.5" hidden="1" x14ac:dyDescent="0.2">
      <c r="A208" s="99" t="s">
        <v>482</v>
      </c>
      <c r="B208" s="17" t="s">
        <v>477</v>
      </c>
      <c r="C208" s="17" t="s">
        <v>106</v>
      </c>
      <c r="D208" s="5" t="s">
        <v>487</v>
      </c>
      <c r="E208" s="9">
        <f t="shared" si="29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28"/>
        <v>0</v>
      </c>
    </row>
    <row r="209" spans="1:16" ht="114.75" hidden="1" x14ac:dyDescent="0.2">
      <c r="A209" s="99"/>
      <c r="B209" s="17"/>
      <c r="C209" s="17"/>
      <c r="D209" s="5" t="s">
        <v>463</v>
      </c>
      <c r="E209" s="9">
        <f t="shared" si="29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28"/>
        <v>0</v>
      </c>
    </row>
    <row r="210" spans="1:16" ht="38.25" hidden="1" x14ac:dyDescent="0.2">
      <c r="A210" s="99" t="s">
        <v>483</v>
      </c>
      <c r="B210" s="17" t="s">
        <v>478</v>
      </c>
      <c r="C210" s="17" t="s">
        <v>106</v>
      </c>
      <c r="D210" s="5" t="s">
        <v>488</v>
      </c>
      <c r="E210" s="9">
        <f t="shared" si="29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28"/>
        <v>0</v>
      </c>
    </row>
    <row r="211" spans="1:16" ht="114.75" hidden="1" x14ac:dyDescent="0.2">
      <c r="A211" s="99"/>
      <c r="B211" s="17"/>
      <c r="C211" s="17"/>
      <c r="D211" s="5" t="s">
        <v>463</v>
      </c>
      <c r="E211" s="9">
        <f t="shared" si="29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28"/>
        <v>0</v>
      </c>
    </row>
    <row r="212" spans="1:16" ht="89.25" hidden="1" x14ac:dyDescent="0.2">
      <c r="A212" s="99" t="s">
        <v>589</v>
      </c>
      <c r="B212" s="17" t="s">
        <v>590</v>
      </c>
      <c r="C212" s="17" t="s">
        <v>51</v>
      </c>
      <c r="D212" s="5" t="s">
        <v>593</v>
      </c>
      <c r="E212" s="9">
        <f>F212</f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28"/>
        <v>0</v>
      </c>
    </row>
    <row r="213" spans="1:16" ht="114.75" hidden="1" x14ac:dyDescent="0.2">
      <c r="A213" s="99"/>
      <c r="B213" s="17"/>
      <c r="C213" s="17"/>
      <c r="D213" s="5" t="s">
        <v>463</v>
      </c>
      <c r="E213" s="9">
        <f>F213</f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28"/>
        <v>0</v>
      </c>
    </row>
    <row r="214" spans="1:16" ht="25.5" hidden="1" x14ac:dyDescent="0.2">
      <c r="A214" s="99" t="s">
        <v>316</v>
      </c>
      <c r="B214" s="17" t="s">
        <v>197</v>
      </c>
      <c r="C214" s="17" t="s">
        <v>106</v>
      </c>
      <c r="D214" s="18" t="s">
        <v>442</v>
      </c>
      <c r="E214" s="9">
        <f>F214</f>
        <v>0</v>
      </c>
      <c r="F214" s="10"/>
      <c r="G214" s="10"/>
      <c r="H214" s="10"/>
      <c r="I214" s="10">
        <f>SUM(I217:I218)</f>
        <v>0</v>
      </c>
      <c r="J214" s="9">
        <f>L214+O214</f>
        <v>0</v>
      </c>
      <c r="K214" s="10"/>
      <c r="L214" s="10"/>
      <c r="M214" s="10"/>
      <c r="N214" s="10"/>
      <c r="O214" s="10">
        <f>O217+O218</f>
        <v>0</v>
      </c>
      <c r="P214" s="11">
        <f t="shared" si="28"/>
        <v>0</v>
      </c>
    </row>
    <row r="215" spans="1:16" hidden="1" x14ac:dyDescent="0.2">
      <c r="A215" s="99" t="s">
        <v>601</v>
      </c>
      <c r="B215" s="17" t="s">
        <v>603</v>
      </c>
      <c r="C215" s="17" t="s">
        <v>51</v>
      </c>
      <c r="D215" s="18" t="s">
        <v>602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28"/>
        <v>0</v>
      </c>
    </row>
    <row r="216" spans="1:16" ht="114.75" hidden="1" x14ac:dyDescent="0.2">
      <c r="A216" s="99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28"/>
        <v>0</v>
      </c>
    </row>
    <row r="217" spans="1:16" ht="27.6" customHeight="1" x14ac:dyDescent="0.2">
      <c r="A217" s="99" t="s">
        <v>317</v>
      </c>
      <c r="B217" s="4" t="s">
        <v>98</v>
      </c>
      <c r="C217" s="4" t="s">
        <v>108</v>
      </c>
      <c r="D217" s="5" t="s">
        <v>315</v>
      </c>
      <c r="E217" s="9">
        <f>F217+I217</f>
        <v>2878817</v>
      </c>
      <c r="F217" s="10">
        <f>7807300-4878480-50003</f>
        <v>2878817</v>
      </c>
      <c r="G217" s="10">
        <f>5610000-3400000-14621</f>
        <v>2195379</v>
      </c>
      <c r="H217" s="10">
        <f>132000-61980-7161</f>
        <v>62859</v>
      </c>
      <c r="I217" s="10"/>
      <c r="J217" s="9">
        <f>L217+O217</f>
        <v>655871</v>
      </c>
      <c r="K217" s="10"/>
      <c r="L217" s="10">
        <v>655871</v>
      </c>
      <c r="M217" s="10">
        <v>38353</v>
      </c>
      <c r="N217" s="10">
        <v>431800</v>
      </c>
      <c r="O217" s="10">
        <f>K217</f>
        <v>0</v>
      </c>
      <c r="P217" s="11">
        <f t="shared" si="28"/>
        <v>3534688</v>
      </c>
    </row>
    <row r="218" spans="1:16" hidden="1" x14ac:dyDescent="0.2">
      <c r="A218" s="99" t="s">
        <v>318</v>
      </c>
      <c r="B218" s="4" t="s">
        <v>99</v>
      </c>
      <c r="C218" s="4" t="s">
        <v>106</v>
      </c>
      <c r="D218" s="5" t="s">
        <v>443</v>
      </c>
      <c r="E218" s="9">
        <f>F218+I218</f>
        <v>0</v>
      </c>
      <c r="F218" s="10"/>
      <c r="G218" s="10"/>
      <c r="H218" s="10"/>
      <c r="I218" s="10"/>
      <c r="J218" s="9">
        <f>L218+O218</f>
        <v>0</v>
      </c>
      <c r="K218" s="10"/>
      <c r="L218" s="10"/>
      <c r="M218" s="10"/>
      <c r="N218" s="10"/>
      <c r="O218" s="10">
        <f>K218</f>
        <v>0</v>
      </c>
      <c r="P218" s="11">
        <f t="shared" si="28"/>
        <v>0</v>
      </c>
    </row>
    <row r="219" spans="1:16" hidden="1" x14ac:dyDescent="0.2">
      <c r="A219" s="99" t="s">
        <v>308</v>
      </c>
      <c r="B219" s="4" t="s">
        <v>307</v>
      </c>
      <c r="C219" s="4"/>
      <c r="D219" s="41" t="s">
        <v>63</v>
      </c>
      <c r="E219" s="9">
        <f t="shared" ref="E219:E237" si="30">F219+I219</f>
        <v>0</v>
      </c>
      <c r="F219" s="10"/>
      <c r="G219" s="10"/>
      <c r="H219" s="10"/>
      <c r="I219" s="10"/>
      <c r="J219" s="9">
        <f t="shared" ref="J219:J237" si="31">L219+O219</f>
        <v>0</v>
      </c>
      <c r="K219" s="10"/>
      <c r="L219" s="10"/>
      <c r="M219" s="10"/>
      <c r="N219" s="10"/>
      <c r="O219" s="10">
        <f>SUM(O220:O221)</f>
        <v>0</v>
      </c>
      <c r="P219" s="11">
        <f t="shared" si="28"/>
        <v>0</v>
      </c>
    </row>
    <row r="220" spans="1:16" x14ac:dyDescent="0.2">
      <c r="A220" s="99" t="s">
        <v>310</v>
      </c>
      <c r="B220" s="17" t="s">
        <v>309</v>
      </c>
      <c r="C220" s="17" t="s">
        <v>51</v>
      </c>
      <c r="D220" s="12" t="s">
        <v>646</v>
      </c>
      <c r="E220" s="9">
        <f t="shared" si="30"/>
        <v>1122210</v>
      </c>
      <c r="F220" s="10">
        <f>2711600-1571149-18241</f>
        <v>1122210</v>
      </c>
      <c r="G220" s="10">
        <f>2086000-1206978-1202</f>
        <v>877820</v>
      </c>
      <c r="H220" s="10">
        <f>66600-13661-5111</f>
        <v>47828</v>
      </c>
      <c r="I220" s="10"/>
      <c r="J220" s="9">
        <f t="shared" si="31"/>
        <v>0</v>
      </c>
      <c r="K220" s="10"/>
      <c r="L220" s="10"/>
      <c r="M220" s="10"/>
      <c r="N220" s="10"/>
      <c r="O220" s="10">
        <f>K220</f>
        <v>0</v>
      </c>
      <c r="P220" s="11">
        <f t="shared" si="28"/>
        <v>1122210</v>
      </c>
    </row>
    <row r="221" spans="1:16" hidden="1" x14ac:dyDescent="0.2">
      <c r="A221" s="99" t="s">
        <v>429</v>
      </c>
      <c r="B221" s="17" t="s">
        <v>428</v>
      </c>
      <c r="C221" s="17" t="s">
        <v>51</v>
      </c>
      <c r="D221" s="12" t="s">
        <v>430</v>
      </c>
      <c r="E221" s="9">
        <f t="shared" si="30"/>
        <v>0</v>
      </c>
      <c r="F221" s="10"/>
      <c r="G221" s="10"/>
      <c r="H221" s="10"/>
      <c r="I221" s="10"/>
      <c r="J221" s="9">
        <f t="shared" si="31"/>
        <v>0</v>
      </c>
      <c r="K221" s="10"/>
      <c r="L221" s="10"/>
      <c r="M221" s="10"/>
      <c r="N221" s="10"/>
      <c r="O221" s="10">
        <f t="shared" ref="O221:O226" si="32">K221</f>
        <v>0</v>
      </c>
      <c r="P221" s="11">
        <f t="shared" ref="P221:P226" si="33">E221+J221</f>
        <v>0</v>
      </c>
    </row>
    <row r="222" spans="1:16" hidden="1" x14ac:dyDescent="0.2">
      <c r="A222" s="99" t="s">
        <v>311</v>
      </c>
      <c r="B222" s="17" t="s">
        <v>196</v>
      </c>
      <c r="C222" s="17"/>
      <c r="D222" s="20" t="s">
        <v>190</v>
      </c>
      <c r="E222" s="9">
        <f t="shared" si="30"/>
        <v>0</v>
      </c>
      <c r="F222" s="10"/>
      <c r="G222" s="10"/>
      <c r="H222" s="10"/>
      <c r="I222" s="10">
        <f>I223</f>
        <v>0</v>
      </c>
      <c r="J222" s="9">
        <f t="shared" si="31"/>
        <v>0</v>
      </c>
      <c r="K222" s="10"/>
      <c r="L222" s="10"/>
      <c r="M222" s="10"/>
      <c r="N222" s="10"/>
      <c r="O222" s="10">
        <f t="shared" si="32"/>
        <v>0</v>
      </c>
      <c r="P222" s="11">
        <f t="shared" si="33"/>
        <v>0</v>
      </c>
    </row>
    <row r="223" spans="1:16" ht="15.75" hidden="1" x14ac:dyDescent="0.25">
      <c r="A223" s="99" t="s">
        <v>313</v>
      </c>
      <c r="B223" s="17" t="s">
        <v>312</v>
      </c>
      <c r="C223" s="17" t="s">
        <v>51</v>
      </c>
      <c r="D223" s="40" t="s">
        <v>183</v>
      </c>
      <c r="E223" s="9">
        <f t="shared" si="30"/>
        <v>0</v>
      </c>
      <c r="F223" s="10"/>
      <c r="G223" s="10"/>
      <c r="H223" s="10"/>
      <c r="I223" s="10"/>
      <c r="J223" s="9">
        <f t="shared" si="31"/>
        <v>0</v>
      </c>
      <c r="K223" s="10"/>
      <c r="L223" s="10"/>
      <c r="M223" s="10"/>
      <c r="N223" s="10"/>
      <c r="O223" s="10">
        <f t="shared" si="32"/>
        <v>0</v>
      </c>
      <c r="P223" s="11">
        <f t="shared" si="33"/>
        <v>0</v>
      </c>
    </row>
    <row r="224" spans="1:16" hidden="1" x14ac:dyDescent="0.2">
      <c r="A224" s="99">
        <v>1513500</v>
      </c>
      <c r="B224" s="4" t="s">
        <v>71</v>
      </c>
      <c r="C224" s="4" t="s">
        <v>51</v>
      </c>
      <c r="D224" s="5" t="s">
        <v>177</v>
      </c>
      <c r="E224" s="9">
        <f t="shared" si="30"/>
        <v>0</v>
      </c>
      <c r="F224" s="10"/>
      <c r="G224" s="10"/>
      <c r="H224" s="10"/>
      <c r="I224" s="10"/>
      <c r="J224" s="9">
        <f t="shared" si="31"/>
        <v>0</v>
      </c>
      <c r="K224" s="10"/>
      <c r="L224" s="10"/>
      <c r="M224" s="10"/>
      <c r="N224" s="10"/>
      <c r="O224" s="10">
        <f t="shared" si="32"/>
        <v>0</v>
      </c>
      <c r="P224" s="11">
        <f t="shared" si="33"/>
        <v>0</v>
      </c>
    </row>
    <row r="225" spans="1:16" ht="25.5" x14ac:dyDescent="0.2">
      <c r="A225" s="99" t="s">
        <v>691</v>
      </c>
      <c r="B225" s="4" t="s">
        <v>692</v>
      </c>
      <c r="C225" s="4" t="s">
        <v>51</v>
      </c>
      <c r="D225" s="5" t="s">
        <v>693</v>
      </c>
      <c r="E225" s="9">
        <f t="shared" si="30"/>
        <v>362699</v>
      </c>
      <c r="F225" s="10">
        <v>362699</v>
      </c>
      <c r="G225" s="10"/>
      <c r="H225" s="10"/>
      <c r="I225" s="10"/>
      <c r="J225" s="9">
        <f t="shared" si="31"/>
        <v>1500000</v>
      </c>
      <c r="K225" s="10">
        <v>1500000</v>
      </c>
      <c r="L225" s="10"/>
      <c r="M225" s="10"/>
      <c r="N225" s="10"/>
      <c r="O225" s="10">
        <f t="shared" si="32"/>
        <v>1500000</v>
      </c>
      <c r="P225" s="11">
        <f t="shared" si="33"/>
        <v>1862699</v>
      </c>
    </row>
    <row r="226" spans="1:16" s="1" customFormat="1" ht="38.25" x14ac:dyDescent="0.2">
      <c r="A226" s="100"/>
      <c r="B226" s="3"/>
      <c r="C226" s="3"/>
      <c r="D226" s="21" t="s">
        <v>47</v>
      </c>
      <c r="E226" s="8">
        <v>362699</v>
      </c>
      <c r="F226" s="15">
        <v>362699</v>
      </c>
      <c r="G226" s="15"/>
      <c r="H226" s="15"/>
      <c r="I226" s="15"/>
      <c r="J226" s="9">
        <f t="shared" si="31"/>
        <v>1500000</v>
      </c>
      <c r="K226" s="15">
        <v>1500000</v>
      </c>
      <c r="L226" s="15"/>
      <c r="M226" s="15"/>
      <c r="N226" s="15"/>
      <c r="O226" s="10">
        <f t="shared" si="32"/>
        <v>1500000</v>
      </c>
      <c r="P226" s="11">
        <f t="shared" si="33"/>
        <v>1862699</v>
      </c>
    </row>
    <row r="227" spans="1:16" ht="38.25" x14ac:dyDescent="0.2">
      <c r="A227" s="99" t="s">
        <v>314</v>
      </c>
      <c r="B227" s="17" t="s">
        <v>78</v>
      </c>
      <c r="C227" s="17" t="s">
        <v>51</v>
      </c>
      <c r="D227" s="18" t="s">
        <v>133</v>
      </c>
      <c r="E227" s="9">
        <f t="shared" si="30"/>
        <v>948000</v>
      </c>
      <c r="F227" s="10">
        <f>1000000-52000</f>
        <v>948000</v>
      </c>
      <c r="G227" s="10"/>
      <c r="H227" s="10"/>
      <c r="I227" s="10"/>
      <c r="J227" s="9">
        <f t="shared" si="31"/>
        <v>0</v>
      </c>
      <c r="K227" s="10"/>
      <c r="L227" s="10"/>
      <c r="M227" s="10"/>
      <c r="N227" s="10"/>
      <c r="O227" s="10"/>
      <c r="P227" s="11">
        <f t="shared" si="28"/>
        <v>948000</v>
      </c>
    </row>
    <row r="228" spans="1:16" hidden="1" x14ac:dyDescent="0.2">
      <c r="A228" s="99"/>
      <c r="B228" s="17"/>
      <c r="C228" s="17"/>
      <c r="D228" s="18" t="s">
        <v>519</v>
      </c>
      <c r="E228" s="9"/>
      <c r="F228" s="10"/>
      <c r="G228" s="10"/>
      <c r="H228" s="10"/>
      <c r="I228" s="10"/>
      <c r="J228" s="9"/>
      <c r="K228" s="10"/>
      <c r="L228" s="10"/>
      <c r="M228" s="10"/>
      <c r="N228" s="10"/>
      <c r="O228" s="10"/>
      <c r="P228" s="11">
        <f t="shared" si="28"/>
        <v>0</v>
      </c>
    </row>
    <row r="229" spans="1:16" ht="39.75" customHeight="1" x14ac:dyDescent="0.2">
      <c r="A229" s="99" t="s">
        <v>319</v>
      </c>
      <c r="B229" s="4" t="s">
        <v>97</v>
      </c>
      <c r="C229" s="4" t="s">
        <v>106</v>
      </c>
      <c r="D229" s="5" t="s">
        <v>444</v>
      </c>
      <c r="E229" s="9">
        <f t="shared" si="30"/>
        <v>1280000</v>
      </c>
      <c r="F229" s="10">
        <f>1250000+30000</f>
        <v>1280000</v>
      </c>
      <c r="G229" s="10"/>
      <c r="H229" s="10"/>
      <c r="I229" s="10">
        <f>SUM(I230)</f>
        <v>0</v>
      </c>
      <c r="J229" s="9">
        <f t="shared" si="31"/>
        <v>0</v>
      </c>
      <c r="K229" s="10"/>
      <c r="L229" s="10"/>
      <c r="M229" s="10"/>
      <c r="N229" s="10"/>
      <c r="O229" s="10">
        <f>SUM(O230)</f>
        <v>0</v>
      </c>
      <c r="P229" s="11">
        <f t="shared" si="28"/>
        <v>1280000</v>
      </c>
    </row>
    <row r="230" spans="1:16" ht="25.5" hidden="1" customHeight="1" x14ac:dyDescent="0.2">
      <c r="A230" s="99" t="s">
        <v>445</v>
      </c>
      <c r="B230" s="4" t="s">
        <v>320</v>
      </c>
      <c r="C230" s="4" t="s">
        <v>106</v>
      </c>
      <c r="D230" s="5" t="s">
        <v>315</v>
      </c>
      <c r="E230" s="9">
        <f t="shared" si="30"/>
        <v>0</v>
      </c>
      <c r="F230" s="10"/>
      <c r="G230" s="10"/>
      <c r="H230" s="10"/>
      <c r="I230" s="10"/>
      <c r="J230" s="9">
        <f t="shared" si="31"/>
        <v>0</v>
      </c>
      <c r="K230" s="10"/>
      <c r="L230" s="10"/>
      <c r="M230" s="10"/>
      <c r="N230" s="10"/>
      <c r="O230" s="10"/>
      <c r="P230" s="11">
        <f t="shared" si="28"/>
        <v>0</v>
      </c>
    </row>
    <row r="231" spans="1:16" hidden="1" x14ac:dyDescent="0.2">
      <c r="A231" s="99" t="s">
        <v>446</v>
      </c>
      <c r="B231" s="4" t="s">
        <v>447</v>
      </c>
      <c r="C231" s="4"/>
      <c r="D231" s="5" t="s">
        <v>67</v>
      </c>
      <c r="E231" s="9">
        <f>E232</f>
        <v>600000</v>
      </c>
      <c r="F231" s="9"/>
      <c r="G231" s="9"/>
      <c r="H231" s="9"/>
      <c r="I231" s="9">
        <f t="shared" ref="I231:O231" si="34">I232</f>
        <v>0</v>
      </c>
      <c r="J231" s="9">
        <f t="shared" si="34"/>
        <v>0</v>
      </c>
      <c r="K231" s="9"/>
      <c r="L231" s="9"/>
      <c r="M231" s="9"/>
      <c r="N231" s="9"/>
      <c r="O231" s="9">
        <f t="shared" si="34"/>
        <v>0</v>
      </c>
      <c r="P231" s="11">
        <f t="shared" si="28"/>
        <v>600000</v>
      </c>
    </row>
    <row r="232" spans="1:16" ht="25.5" x14ac:dyDescent="0.2">
      <c r="A232" s="99" t="s">
        <v>448</v>
      </c>
      <c r="B232" s="4" t="s">
        <v>449</v>
      </c>
      <c r="C232" s="4" t="s">
        <v>165</v>
      </c>
      <c r="D232" s="5" t="s">
        <v>647</v>
      </c>
      <c r="E232" s="9">
        <f>F232+I232</f>
        <v>600000</v>
      </c>
      <c r="F232" s="10">
        <v>600000</v>
      </c>
      <c r="G232" s="10"/>
      <c r="H232" s="10"/>
      <c r="I232" s="10"/>
      <c r="J232" s="9">
        <f>L232+O232</f>
        <v>0</v>
      </c>
      <c r="K232" s="10"/>
      <c r="L232" s="10"/>
      <c r="M232" s="10"/>
      <c r="N232" s="10"/>
      <c r="O232" s="10">
        <f>K232</f>
        <v>0</v>
      </c>
      <c r="P232" s="11">
        <f t="shared" si="28"/>
        <v>600000</v>
      </c>
    </row>
    <row r="233" spans="1:16" x14ac:dyDescent="0.2">
      <c r="A233" s="99" t="s">
        <v>450</v>
      </c>
      <c r="B233" s="17" t="s">
        <v>451</v>
      </c>
      <c r="C233" s="17" t="s">
        <v>65</v>
      </c>
      <c r="D233" s="12" t="s">
        <v>66</v>
      </c>
      <c r="E233" s="9">
        <f t="shared" si="30"/>
        <v>200000</v>
      </c>
      <c r="F233" s="10">
        <v>200000</v>
      </c>
      <c r="G233" s="10"/>
      <c r="H233" s="10"/>
      <c r="I233" s="10"/>
      <c r="J233" s="9">
        <f t="shared" si="31"/>
        <v>0</v>
      </c>
      <c r="K233" s="10"/>
      <c r="L233" s="10"/>
      <c r="M233" s="10"/>
      <c r="N233" s="10"/>
      <c r="O233" s="10"/>
      <c r="P233" s="11">
        <f t="shared" si="28"/>
        <v>200000</v>
      </c>
    </row>
    <row r="234" spans="1:16" hidden="1" x14ac:dyDescent="0.2">
      <c r="A234" s="99">
        <v>1518600</v>
      </c>
      <c r="B234" s="17" t="s">
        <v>75</v>
      </c>
      <c r="C234" s="4" t="s">
        <v>176</v>
      </c>
      <c r="D234" s="5" t="s">
        <v>177</v>
      </c>
      <c r="E234" s="9">
        <f t="shared" si="30"/>
        <v>0</v>
      </c>
      <c r="F234" s="10"/>
      <c r="G234" s="10"/>
      <c r="H234" s="10"/>
      <c r="I234" s="10"/>
      <c r="J234" s="9">
        <f t="shared" si="31"/>
        <v>0</v>
      </c>
      <c r="K234" s="10"/>
      <c r="L234" s="10"/>
      <c r="M234" s="10"/>
      <c r="N234" s="10"/>
      <c r="O234" s="10"/>
      <c r="P234" s="11">
        <f t="shared" si="28"/>
        <v>0</v>
      </c>
    </row>
    <row r="235" spans="1:16" ht="25.5" hidden="1" x14ac:dyDescent="0.2">
      <c r="A235" s="99" t="s">
        <v>556</v>
      </c>
      <c r="B235" s="17" t="s">
        <v>557</v>
      </c>
      <c r="C235" s="4"/>
      <c r="D235" s="5" t="s">
        <v>560</v>
      </c>
      <c r="E235" s="9">
        <f t="shared" si="30"/>
        <v>0</v>
      </c>
      <c r="F235" s="10"/>
      <c r="G235" s="10"/>
      <c r="H235" s="10"/>
      <c r="I235" s="10"/>
      <c r="J235" s="9">
        <f t="shared" si="31"/>
        <v>0</v>
      </c>
      <c r="K235" s="10"/>
      <c r="L235" s="10"/>
      <c r="M235" s="10"/>
      <c r="N235" s="10"/>
      <c r="O235" s="10">
        <f>K235</f>
        <v>0</v>
      </c>
      <c r="P235" s="11">
        <f t="shared" si="28"/>
        <v>0</v>
      </c>
    </row>
    <row r="236" spans="1:16" ht="102" x14ac:dyDescent="0.2">
      <c r="A236" s="99" t="s">
        <v>558</v>
      </c>
      <c r="B236" s="17" t="s">
        <v>559</v>
      </c>
      <c r="C236" s="4" t="s">
        <v>103</v>
      </c>
      <c r="D236" s="5" t="s">
        <v>561</v>
      </c>
      <c r="E236" s="9">
        <f t="shared" si="30"/>
        <v>0</v>
      </c>
      <c r="F236" s="10"/>
      <c r="G236" s="10"/>
      <c r="H236" s="10"/>
      <c r="I236" s="10"/>
      <c r="J236" s="9">
        <f t="shared" si="31"/>
        <v>1000569</v>
      </c>
      <c r="K236" s="10">
        <v>1000569</v>
      </c>
      <c r="L236" s="10"/>
      <c r="M236" s="10"/>
      <c r="N236" s="10"/>
      <c r="O236" s="10">
        <f>K236</f>
        <v>1000569</v>
      </c>
      <c r="P236" s="11">
        <f t="shared" si="28"/>
        <v>1000569</v>
      </c>
    </row>
    <row r="237" spans="1:16" s="1" customFormat="1" ht="134.44999999999999" customHeight="1" x14ac:dyDescent="0.2">
      <c r="A237" s="100"/>
      <c r="B237" s="19"/>
      <c r="C237" s="3"/>
      <c r="D237" s="21" t="s">
        <v>562</v>
      </c>
      <c r="E237" s="8">
        <f t="shared" si="30"/>
        <v>0</v>
      </c>
      <c r="F237" s="15"/>
      <c r="G237" s="15"/>
      <c r="H237" s="15"/>
      <c r="I237" s="15"/>
      <c r="J237" s="8">
        <f t="shared" si="31"/>
        <v>1000569</v>
      </c>
      <c r="K237" s="15">
        <v>1000569</v>
      </c>
      <c r="L237" s="15"/>
      <c r="M237" s="15"/>
      <c r="N237" s="15"/>
      <c r="O237" s="15">
        <f>K237</f>
        <v>1000569</v>
      </c>
      <c r="P237" s="14">
        <f t="shared" si="28"/>
        <v>1000569</v>
      </c>
    </row>
    <row r="238" spans="1:16" ht="165.75" x14ac:dyDescent="0.2">
      <c r="A238" s="99" t="s">
        <v>29</v>
      </c>
      <c r="B238" s="17" t="s">
        <v>30</v>
      </c>
      <c r="C238" s="4" t="s">
        <v>103</v>
      </c>
      <c r="D238" s="5" t="s">
        <v>31</v>
      </c>
      <c r="E238" s="9">
        <f t="shared" ref="E238:E244" si="35">F238+I238</f>
        <v>0</v>
      </c>
      <c r="F238" s="10"/>
      <c r="G238" s="10"/>
      <c r="H238" s="10"/>
      <c r="I238" s="10"/>
      <c r="J238" s="9">
        <f>L238+O238</f>
        <v>1926107</v>
      </c>
      <c r="K238" s="10">
        <v>1926107</v>
      </c>
      <c r="L238" s="10"/>
      <c r="M238" s="10"/>
      <c r="N238" s="10"/>
      <c r="O238" s="10">
        <f>K238</f>
        <v>1926107</v>
      </c>
      <c r="P238" s="11">
        <f>E238+J238</f>
        <v>1926107</v>
      </c>
    </row>
    <row r="239" spans="1:16" s="1" customFormat="1" ht="174.6" customHeight="1" x14ac:dyDescent="0.2">
      <c r="A239" s="100"/>
      <c r="B239" s="19"/>
      <c r="C239" s="3"/>
      <c r="D239" s="21" t="s">
        <v>32</v>
      </c>
      <c r="E239" s="8">
        <f t="shared" si="35"/>
        <v>0</v>
      </c>
      <c r="F239" s="15"/>
      <c r="G239" s="15"/>
      <c r="H239" s="15"/>
      <c r="I239" s="15"/>
      <c r="J239" s="8">
        <f>L239+O239</f>
        <v>1926107</v>
      </c>
      <c r="K239" s="15">
        <v>1926107</v>
      </c>
      <c r="L239" s="15"/>
      <c r="M239" s="15"/>
      <c r="N239" s="15"/>
      <c r="O239" s="15">
        <f>K239</f>
        <v>1926107</v>
      </c>
      <c r="P239" s="14">
        <f>E239+J239</f>
        <v>1926107</v>
      </c>
    </row>
    <row r="240" spans="1:16" ht="89.25" hidden="1" x14ac:dyDescent="0.2">
      <c r="A240" s="99" t="s">
        <v>489</v>
      </c>
      <c r="B240" s="17" t="s">
        <v>473</v>
      </c>
      <c r="C240" s="17" t="s">
        <v>51</v>
      </c>
      <c r="D240" s="5" t="s">
        <v>591</v>
      </c>
      <c r="E240" s="9">
        <f t="shared" si="35"/>
        <v>0</v>
      </c>
      <c r="F240" s="10"/>
      <c r="G240" s="10"/>
      <c r="H240" s="10"/>
      <c r="I240" s="10"/>
      <c r="J240" s="9"/>
      <c r="K240" s="10"/>
      <c r="L240" s="10"/>
      <c r="M240" s="10"/>
      <c r="N240" s="10"/>
      <c r="O240" s="10"/>
      <c r="P240" s="11">
        <f t="shared" si="28"/>
        <v>0</v>
      </c>
    </row>
    <row r="241" spans="1:18" s="1" customFormat="1" ht="90" hidden="1" customHeight="1" x14ac:dyDescent="0.2">
      <c r="A241" s="100"/>
      <c r="B241" s="19"/>
      <c r="C241" s="19"/>
      <c r="D241" s="21" t="s">
        <v>594</v>
      </c>
      <c r="E241" s="8">
        <f t="shared" si="35"/>
        <v>0</v>
      </c>
      <c r="F241" s="15"/>
      <c r="G241" s="15"/>
      <c r="H241" s="15"/>
      <c r="I241" s="15"/>
      <c r="J241" s="8"/>
      <c r="K241" s="15"/>
      <c r="L241" s="15"/>
      <c r="M241" s="15"/>
      <c r="N241" s="15"/>
      <c r="O241" s="15"/>
      <c r="P241" s="14">
        <f t="shared" si="28"/>
        <v>0</v>
      </c>
    </row>
    <row r="242" spans="1:18" ht="25.5" x14ac:dyDescent="0.2">
      <c r="A242" s="99" t="s">
        <v>681</v>
      </c>
      <c r="B242" s="4" t="s">
        <v>682</v>
      </c>
      <c r="C242" s="4" t="s">
        <v>164</v>
      </c>
      <c r="D242" s="79" t="s">
        <v>683</v>
      </c>
      <c r="E242" s="9">
        <f t="shared" si="35"/>
        <v>11778423</v>
      </c>
      <c r="F242" s="10">
        <f>3742700+6449629+362699+92500+68244+200000-362699+34100+7200+400000+144950+572600+66500</f>
        <v>11778423</v>
      </c>
      <c r="G242" s="10"/>
      <c r="H242" s="10"/>
      <c r="I242" s="10"/>
      <c r="J242" s="9">
        <f>L242+O242</f>
        <v>143900</v>
      </c>
      <c r="K242" s="10">
        <f>50000+1500000+93900-1500000</f>
        <v>143900</v>
      </c>
      <c r="L242" s="10"/>
      <c r="M242" s="10"/>
      <c r="N242" s="10"/>
      <c r="O242" s="10">
        <f>K242</f>
        <v>143900</v>
      </c>
      <c r="P242" s="11">
        <f t="shared" si="28"/>
        <v>11922323</v>
      </c>
    </row>
    <row r="243" spans="1:18" s="1" customFormat="1" ht="38.25" hidden="1" x14ac:dyDescent="0.2">
      <c r="A243" s="100"/>
      <c r="B243" s="3"/>
      <c r="C243" s="3"/>
      <c r="D243" s="13" t="s">
        <v>47</v>
      </c>
      <c r="E243" s="8">
        <f t="shared" si="35"/>
        <v>0</v>
      </c>
      <c r="F243" s="15"/>
      <c r="G243" s="15"/>
      <c r="H243" s="15"/>
      <c r="I243" s="15"/>
      <c r="J243" s="8">
        <v>1500000</v>
      </c>
      <c r="K243" s="15"/>
      <c r="L243" s="15"/>
      <c r="M243" s="15"/>
      <c r="N243" s="15"/>
      <c r="O243" s="15">
        <f>K243</f>
        <v>0</v>
      </c>
      <c r="P243" s="14">
        <f>E243+J243</f>
        <v>1500000</v>
      </c>
    </row>
    <row r="244" spans="1:18" x14ac:dyDescent="0.2">
      <c r="A244" s="99" t="s">
        <v>454</v>
      </c>
      <c r="B244" s="4" t="s">
        <v>453</v>
      </c>
      <c r="C244" s="4" t="s">
        <v>164</v>
      </c>
      <c r="D244" s="59" t="s">
        <v>452</v>
      </c>
      <c r="E244" s="9">
        <f t="shared" si="35"/>
        <v>6347300</v>
      </c>
      <c r="F244" s="10">
        <f>6232300-200000+90000+132000-7000+100000</f>
        <v>6347300</v>
      </c>
      <c r="G244" s="10"/>
      <c r="H244" s="10"/>
      <c r="I244" s="10"/>
      <c r="J244" s="9">
        <f>L244+O244</f>
        <v>280000</v>
      </c>
      <c r="K244" s="10">
        <f>320000-40000</f>
        <v>280000</v>
      </c>
      <c r="L244" s="10"/>
      <c r="M244" s="10"/>
      <c r="N244" s="10"/>
      <c r="O244" s="10">
        <f>K244</f>
        <v>280000</v>
      </c>
      <c r="P244" s="11">
        <f t="shared" si="28"/>
        <v>6627300</v>
      </c>
    </row>
    <row r="245" spans="1:18" hidden="1" x14ac:dyDescent="0.2">
      <c r="A245" s="99" t="s">
        <v>497</v>
      </c>
      <c r="B245" s="4" t="s">
        <v>228</v>
      </c>
      <c r="C245" s="4"/>
      <c r="D245" s="68" t="s">
        <v>230</v>
      </c>
      <c r="E245" s="9">
        <f>E246</f>
        <v>70000</v>
      </c>
      <c r="F245" s="9"/>
      <c r="G245" s="9"/>
      <c r="H245" s="9"/>
      <c r="I245" s="9">
        <f t="shared" ref="I245:O245" si="36">I246</f>
        <v>0</v>
      </c>
      <c r="J245" s="9">
        <f t="shared" si="36"/>
        <v>0</v>
      </c>
      <c r="K245" s="9">
        <f>K246</f>
        <v>0</v>
      </c>
      <c r="L245" s="9">
        <f t="shared" si="36"/>
        <v>0</v>
      </c>
      <c r="M245" s="9">
        <f t="shared" si="36"/>
        <v>0</v>
      </c>
      <c r="N245" s="9">
        <f t="shared" si="36"/>
        <v>0</v>
      </c>
      <c r="O245" s="9">
        <f t="shared" si="36"/>
        <v>0</v>
      </c>
      <c r="P245" s="11">
        <f t="shared" si="28"/>
        <v>70000</v>
      </c>
    </row>
    <row r="246" spans="1:18" x14ac:dyDescent="0.2">
      <c r="A246" s="99" t="s">
        <v>498</v>
      </c>
      <c r="B246" s="4" t="s">
        <v>232</v>
      </c>
      <c r="C246" s="4" t="s">
        <v>169</v>
      </c>
      <c r="D246" s="68" t="s">
        <v>233</v>
      </c>
      <c r="E246" s="9">
        <f>F246+I246</f>
        <v>70000</v>
      </c>
      <c r="F246" s="10">
        <v>70000</v>
      </c>
      <c r="G246" s="10"/>
      <c r="H246" s="10"/>
      <c r="I246" s="10"/>
      <c r="J246" s="9">
        <f>L246+O246</f>
        <v>0</v>
      </c>
      <c r="K246" s="10"/>
      <c r="L246" s="10"/>
      <c r="M246" s="10"/>
      <c r="N246" s="10"/>
      <c r="O246" s="10"/>
      <c r="P246" s="11">
        <f t="shared" si="28"/>
        <v>70000</v>
      </c>
    </row>
    <row r="247" spans="1:18" x14ac:dyDescent="0.2">
      <c r="A247" s="97" t="s">
        <v>216</v>
      </c>
      <c r="B247" s="103"/>
      <c r="C247" s="6"/>
      <c r="D247" s="28" t="s">
        <v>111</v>
      </c>
      <c r="E247" s="22">
        <f>E248</f>
        <v>5076100</v>
      </c>
      <c r="F247" s="22">
        <f t="shared" ref="F247:O247" si="37">F248</f>
        <v>5076100</v>
      </c>
      <c r="G247" s="22">
        <f t="shared" si="37"/>
        <v>3278000</v>
      </c>
      <c r="H247" s="22">
        <f t="shared" si="37"/>
        <v>71200</v>
      </c>
      <c r="I247" s="22">
        <f t="shared" si="37"/>
        <v>0</v>
      </c>
      <c r="J247" s="22">
        <f t="shared" si="37"/>
        <v>2400000</v>
      </c>
      <c r="K247" s="22">
        <f>K248</f>
        <v>2400000</v>
      </c>
      <c r="L247" s="22">
        <f t="shared" si="37"/>
        <v>0</v>
      </c>
      <c r="M247" s="22">
        <f t="shared" si="37"/>
        <v>0</v>
      </c>
      <c r="N247" s="22">
        <f t="shared" si="37"/>
        <v>0</v>
      </c>
      <c r="O247" s="22">
        <f t="shared" si="37"/>
        <v>2400000</v>
      </c>
      <c r="P247" s="11">
        <f t="shared" si="28"/>
        <v>7476100</v>
      </c>
      <c r="R247" s="31"/>
    </row>
    <row r="248" spans="1:18" x14ac:dyDescent="0.2">
      <c r="A248" s="99" t="s">
        <v>321</v>
      </c>
      <c r="B248" s="17"/>
      <c r="C248" s="6"/>
      <c r="D248" s="13" t="s">
        <v>111</v>
      </c>
      <c r="E248" s="22">
        <f>E249+E252+E251</f>
        <v>5076100</v>
      </c>
      <c r="F248" s="22">
        <f>F249+F251+F250+F252</f>
        <v>5076100</v>
      </c>
      <c r="G248" s="22">
        <f t="shared" ref="G248:O248" si="38">G249+G251+G250</f>
        <v>3278000</v>
      </c>
      <c r="H248" s="22">
        <f t="shared" si="38"/>
        <v>71200</v>
      </c>
      <c r="I248" s="22">
        <f t="shared" si="38"/>
        <v>0</v>
      </c>
      <c r="J248" s="22">
        <f t="shared" si="38"/>
        <v>2400000</v>
      </c>
      <c r="K248" s="22">
        <f>K249+K251+K250</f>
        <v>2400000</v>
      </c>
      <c r="L248" s="22">
        <f t="shared" si="38"/>
        <v>0</v>
      </c>
      <c r="M248" s="22">
        <f t="shared" si="38"/>
        <v>0</v>
      </c>
      <c r="N248" s="22">
        <f t="shared" si="38"/>
        <v>0</v>
      </c>
      <c r="O248" s="22">
        <f t="shared" si="38"/>
        <v>2400000</v>
      </c>
      <c r="P248" s="22">
        <f>P249+P251+P250+P252+P251</f>
        <v>10476100</v>
      </c>
    </row>
    <row r="249" spans="1:18" ht="25.5" x14ac:dyDescent="0.2">
      <c r="A249" s="99" t="s">
        <v>322</v>
      </c>
      <c r="B249" s="4" t="s">
        <v>235</v>
      </c>
      <c r="C249" s="4" t="s">
        <v>163</v>
      </c>
      <c r="D249" s="12" t="s">
        <v>642</v>
      </c>
      <c r="E249" s="9">
        <f>F249+I249</f>
        <v>4326100</v>
      </c>
      <c r="F249" s="10">
        <f>3777900+3500+350000+9700+10000+175000</f>
        <v>4326100</v>
      </c>
      <c r="G249" s="10">
        <f>2868000+300000+110000</f>
        <v>3278000</v>
      </c>
      <c r="H249" s="10">
        <f>48000+3500+9700+10000</f>
        <v>71200</v>
      </c>
      <c r="I249" s="10"/>
      <c r="J249" s="9">
        <f>L249+O249</f>
        <v>0</v>
      </c>
      <c r="K249" s="10"/>
      <c r="L249" s="10"/>
      <c r="M249" s="10"/>
      <c r="N249" s="10"/>
      <c r="O249" s="10">
        <f>K249</f>
        <v>0</v>
      </c>
      <c r="P249" s="11">
        <f t="shared" ref="P249:P266" si="39">E249+J249</f>
        <v>4326100</v>
      </c>
    </row>
    <row r="250" spans="1:18" hidden="1" x14ac:dyDescent="0.2">
      <c r="A250" s="99"/>
      <c r="B250" s="4"/>
      <c r="C250" s="4"/>
      <c r="D250" s="12"/>
      <c r="E250" s="9">
        <f>F250+I250</f>
        <v>0</v>
      </c>
      <c r="F250" s="10"/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>
        <f>K250</f>
        <v>0</v>
      </c>
      <c r="P250" s="11">
        <f t="shared" si="39"/>
        <v>0</v>
      </c>
    </row>
    <row r="251" spans="1:18" ht="38.25" x14ac:dyDescent="0.2">
      <c r="A251" s="99" t="s">
        <v>3</v>
      </c>
      <c r="B251" s="17" t="s">
        <v>4</v>
      </c>
      <c r="C251" s="4" t="s">
        <v>51</v>
      </c>
      <c r="D251" s="83" t="s">
        <v>5</v>
      </c>
      <c r="E251" s="9">
        <f>F251+I251</f>
        <v>600000</v>
      </c>
      <c r="F251" s="9">
        <f>100000+100000+400000</f>
        <v>600000</v>
      </c>
      <c r="G251" s="9"/>
      <c r="H251" s="9"/>
      <c r="I251" s="9">
        <f t="shared" ref="I251:N251" si="40">I252</f>
        <v>0</v>
      </c>
      <c r="J251" s="9">
        <f>L251+O251</f>
        <v>2400000</v>
      </c>
      <c r="K251" s="9">
        <v>2400000</v>
      </c>
      <c r="L251" s="9">
        <f t="shared" si="40"/>
        <v>0</v>
      </c>
      <c r="M251" s="9">
        <f t="shared" si="40"/>
        <v>0</v>
      </c>
      <c r="N251" s="9">
        <f t="shared" si="40"/>
        <v>0</v>
      </c>
      <c r="O251" s="9">
        <f>K251</f>
        <v>2400000</v>
      </c>
      <c r="P251" s="11">
        <f t="shared" si="39"/>
        <v>3000000</v>
      </c>
    </row>
    <row r="252" spans="1:18" ht="15.75" x14ac:dyDescent="0.25">
      <c r="A252" s="99" t="s">
        <v>323</v>
      </c>
      <c r="B252" s="17" t="s">
        <v>210</v>
      </c>
      <c r="C252" s="4" t="s">
        <v>51</v>
      </c>
      <c r="D252" s="40" t="s">
        <v>209</v>
      </c>
      <c r="E252" s="9">
        <f>F252</f>
        <v>150000</v>
      </c>
      <c r="F252" s="10">
        <v>150000</v>
      </c>
      <c r="G252" s="10"/>
      <c r="H252" s="10"/>
      <c r="I252" s="10"/>
      <c r="J252" s="9"/>
      <c r="K252" s="10"/>
      <c r="L252" s="10"/>
      <c r="M252" s="10"/>
      <c r="N252" s="10"/>
      <c r="O252" s="10"/>
      <c r="P252" s="11">
        <f t="shared" si="39"/>
        <v>150000</v>
      </c>
    </row>
    <row r="253" spans="1:18" ht="25.5" x14ac:dyDescent="0.2">
      <c r="A253" s="97">
        <v>1000000</v>
      </c>
      <c r="B253" s="103"/>
      <c r="C253" s="6"/>
      <c r="D253" s="28" t="s">
        <v>640</v>
      </c>
      <c r="E253" s="22">
        <f>E255</f>
        <v>54806204</v>
      </c>
      <c r="F253" s="22">
        <f t="shared" ref="F253:O253" si="41">F255</f>
        <v>54806204</v>
      </c>
      <c r="G253" s="22">
        <f t="shared" si="41"/>
        <v>35243400</v>
      </c>
      <c r="H253" s="22">
        <f t="shared" si="41"/>
        <v>5905900</v>
      </c>
      <c r="I253" s="22">
        <f t="shared" si="41"/>
        <v>0</v>
      </c>
      <c r="J253" s="22">
        <f t="shared" si="41"/>
        <v>7948796</v>
      </c>
      <c r="K253" s="22">
        <f>K255</f>
        <v>4764396</v>
      </c>
      <c r="L253" s="22">
        <f t="shared" si="41"/>
        <v>3184400</v>
      </c>
      <c r="M253" s="22">
        <f t="shared" si="41"/>
        <v>1649600</v>
      </c>
      <c r="N253" s="22">
        <f t="shared" si="41"/>
        <v>0</v>
      </c>
      <c r="O253" s="22">
        <f t="shared" si="41"/>
        <v>4764396</v>
      </c>
      <c r="P253" s="11">
        <f t="shared" si="39"/>
        <v>62755000</v>
      </c>
      <c r="R253" s="31"/>
    </row>
    <row r="254" spans="1:18" hidden="1" x14ac:dyDescent="0.2">
      <c r="A254" s="97"/>
      <c r="B254" s="103"/>
      <c r="C254" s="6"/>
      <c r="D254" s="32" t="s">
        <v>519</v>
      </c>
      <c r="E254" s="22"/>
      <c r="F254" s="22"/>
      <c r="G254" s="22"/>
      <c r="H254" s="22"/>
      <c r="I254" s="22"/>
      <c r="J254" s="15">
        <f>J258</f>
        <v>0</v>
      </c>
      <c r="K254" s="15">
        <f t="shared" ref="K254:P254" si="42">K258</f>
        <v>0</v>
      </c>
      <c r="L254" s="15">
        <f t="shared" si="42"/>
        <v>0</v>
      </c>
      <c r="M254" s="15">
        <f t="shared" si="42"/>
        <v>0</v>
      </c>
      <c r="N254" s="15">
        <f t="shared" si="42"/>
        <v>0</v>
      </c>
      <c r="O254" s="15">
        <f t="shared" si="42"/>
        <v>0</v>
      </c>
      <c r="P254" s="29">
        <f t="shared" si="42"/>
        <v>0</v>
      </c>
    </row>
    <row r="255" spans="1:18" ht="15.75" customHeight="1" x14ac:dyDescent="0.2">
      <c r="A255" s="99" t="s">
        <v>324</v>
      </c>
      <c r="B255" s="17"/>
      <c r="C255" s="6"/>
      <c r="D255" s="13" t="s">
        <v>640</v>
      </c>
      <c r="E255" s="22">
        <f>E256+E257+E260+E262+E263+E265+E266+E259</f>
        <v>54806204</v>
      </c>
      <c r="F255" s="22">
        <f>F256+F257+F260+F262+F263+F265+F266+F259</f>
        <v>54806204</v>
      </c>
      <c r="G255" s="22">
        <f>G256+G257+G260+G262+G263+G265+G266</f>
        <v>35243400</v>
      </c>
      <c r="H255" s="22">
        <f>H256+H257+H260+H262+H263+H265+H266</f>
        <v>5905900</v>
      </c>
      <c r="I255" s="22">
        <f>SUM(I256:I264)</f>
        <v>0</v>
      </c>
      <c r="J255" s="22">
        <f t="shared" ref="J255:O255" si="43">J256+J257+J260+J262+J263+J265+J266</f>
        <v>7948796</v>
      </c>
      <c r="K255" s="22">
        <f t="shared" si="43"/>
        <v>4764396</v>
      </c>
      <c r="L255" s="22">
        <f t="shared" si="43"/>
        <v>3184400</v>
      </c>
      <c r="M255" s="22">
        <f t="shared" si="43"/>
        <v>1649600</v>
      </c>
      <c r="N255" s="22">
        <f t="shared" si="43"/>
        <v>0</v>
      </c>
      <c r="O255" s="22">
        <f t="shared" si="43"/>
        <v>4764396</v>
      </c>
      <c r="P255" s="11">
        <f t="shared" si="39"/>
        <v>62755000</v>
      </c>
    </row>
    <row r="256" spans="1:18" ht="25.5" x14ac:dyDescent="0.2">
      <c r="A256" s="99" t="s">
        <v>325</v>
      </c>
      <c r="B256" s="4" t="s">
        <v>235</v>
      </c>
      <c r="C256" s="4" t="s">
        <v>163</v>
      </c>
      <c r="D256" s="12" t="s">
        <v>642</v>
      </c>
      <c r="E256" s="9">
        <f t="shared" ref="E256:E266" si="44">F256+I256</f>
        <v>2175404</v>
      </c>
      <c r="F256" s="10">
        <f>2429800-51000-200000-3396</f>
        <v>2175404</v>
      </c>
      <c r="G256" s="10">
        <f>1065000+675600-160000-4600</f>
        <v>1576000</v>
      </c>
      <c r="H256" s="10"/>
      <c r="I256" s="10"/>
      <c r="J256" s="9">
        <f t="shared" ref="J256:J266" si="45">L256+O256</f>
        <v>144096</v>
      </c>
      <c r="K256" s="10">
        <f>109700+51000-20000+3396</f>
        <v>144096</v>
      </c>
      <c r="L256" s="10"/>
      <c r="M256" s="10"/>
      <c r="N256" s="10"/>
      <c r="O256" s="10">
        <f t="shared" ref="O256:O266" si="46">K256</f>
        <v>144096</v>
      </c>
      <c r="P256" s="11">
        <f t="shared" si="39"/>
        <v>2319500</v>
      </c>
    </row>
    <row r="257" spans="1:18" x14ac:dyDescent="0.2">
      <c r="A257" s="99" t="s">
        <v>680</v>
      </c>
      <c r="B257" s="17" t="s">
        <v>656</v>
      </c>
      <c r="C257" s="17" t="s">
        <v>181</v>
      </c>
      <c r="D257" s="5" t="s">
        <v>618</v>
      </c>
      <c r="E257" s="9">
        <f>F257+I257</f>
        <v>22378500</v>
      </c>
      <c r="F257" s="10">
        <f>22593700-340000+105800+224000-215000+10000</f>
        <v>22378500</v>
      </c>
      <c r="G257" s="10">
        <f>17326700-280000</f>
        <v>17046700</v>
      </c>
      <c r="H257" s="10">
        <f>1090000-61900+24200+220000+105800+224000+10000</f>
        <v>1612100</v>
      </c>
      <c r="I257" s="10"/>
      <c r="J257" s="9">
        <f>L257+O257</f>
        <v>2220000</v>
      </c>
      <c r="K257" s="10"/>
      <c r="L257" s="10">
        <v>2220000</v>
      </c>
      <c r="M257" s="10">
        <v>1500000</v>
      </c>
      <c r="N257" s="10"/>
      <c r="O257" s="10">
        <f t="shared" si="46"/>
        <v>0</v>
      </c>
      <c r="P257" s="11">
        <f t="shared" si="39"/>
        <v>24598500</v>
      </c>
    </row>
    <row r="258" spans="1:18" s="1" customFormat="1" hidden="1" x14ac:dyDescent="0.2">
      <c r="A258" s="100"/>
      <c r="B258" s="19"/>
      <c r="C258" s="19"/>
      <c r="D258" s="32" t="s">
        <v>519</v>
      </c>
      <c r="E258" s="8"/>
      <c r="F258" s="15"/>
      <c r="G258" s="15"/>
      <c r="H258" s="15"/>
      <c r="I258" s="15"/>
      <c r="J258" s="8">
        <f>L258+O258</f>
        <v>0</v>
      </c>
      <c r="K258" s="15"/>
      <c r="L258" s="15"/>
      <c r="M258" s="15"/>
      <c r="N258" s="15"/>
      <c r="O258" s="15">
        <f>K258</f>
        <v>0</v>
      </c>
      <c r="P258" s="14">
        <f>E258+J258</f>
        <v>0</v>
      </c>
    </row>
    <row r="259" spans="1:18" ht="15.75" customHeight="1" x14ac:dyDescent="0.2">
      <c r="A259" s="99" t="s">
        <v>675</v>
      </c>
      <c r="B259" s="17" t="s">
        <v>312</v>
      </c>
      <c r="C259" s="7" t="s">
        <v>51</v>
      </c>
      <c r="D259" s="41" t="s">
        <v>183</v>
      </c>
      <c r="E259" s="9">
        <f>F259+I259</f>
        <v>620000</v>
      </c>
      <c r="F259" s="10">
        <f>650000-30000</f>
        <v>620000</v>
      </c>
      <c r="G259" s="10"/>
      <c r="H259" s="10"/>
      <c r="I259" s="10"/>
      <c r="J259" s="9">
        <f>L259+O259</f>
        <v>0</v>
      </c>
      <c r="K259" s="10"/>
      <c r="L259" s="10"/>
      <c r="M259" s="10"/>
      <c r="N259" s="10"/>
      <c r="O259" s="10">
        <f>K259</f>
        <v>0</v>
      </c>
      <c r="P259" s="11">
        <f>E259+J259</f>
        <v>620000</v>
      </c>
    </row>
    <row r="260" spans="1:18" x14ac:dyDescent="0.2">
      <c r="A260" s="99" t="s">
        <v>328</v>
      </c>
      <c r="B260" s="17" t="s">
        <v>327</v>
      </c>
      <c r="C260" s="17" t="s">
        <v>112</v>
      </c>
      <c r="D260" s="5" t="s">
        <v>326</v>
      </c>
      <c r="E260" s="9">
        <f t="shared" si="44"/>
        <v>7105200</v>
      </c>
      <c r="F260" s="10">
        <f>6794100+2400+8000+100000+69700+81000+30000+20000</f>
        <v>7105200</v>
      </c>
      <c r="G260" s="10">
        <f>4976700+10000</f>
        <v>4986700</v>
      </c>
      <c r="H260" s="10">
        <f>480000+2400+8000+100000+69700+81000+20000</f>
        <v>761100</v>
      </c>
      <c r="I260" s="10"/>
      <c r="J260" s="9">
        <f t="shared" si="45"/>
        <v>160000</v>
      </c>
      <c r="K260" s="10">
        <v>100000</v>
      </c>
      <c r="L260" s="10">
        <v>60000</v>
      </c>
      <c r="M260" s="10"/>
      <c r="N260" s="10"/>
      <c r="O260" s="15">
        <f>K260</f>
        <v>100000</v>
      </c>
      <c r="P260" s="11">
        <f t="shared" si="39"/>
        <v>7265200</v>
      </c>
    </row>
    <row r="261" spans="1:18" hidden="1" x14ac:dyDescent="0.2">
      <c r="A261" s="99"/>
      <c r="B261" s="17"/>
      <c r="C261" s="17"/>
      <c r="E261" s="9"/>
      <c r="F261" s="10"/>
      <c r="G261" s="10"/>
      <c r="H261" s="10"/>
      <c r="I261" s="10"/>
      <c r="J261" s="9"/>
      <c r="K261" s="10"/>
      <c r="L261" s="10"/>
      <c r="M261" s="10"/>
      <c r="N261" s="10"/>
      <c r="O261" s="10"/>
      <c r="P261" s="11"/>
    </row>
    <row r="262" spans="1:18" x14ac:dyDescent="0.2">
      <c r="A262" s="99" t="s">
        <v>331</v>
      </c>
      <c r="B262" s="4" t="s">
        <v>330</v>
      </c>
      <c r="C262" s="4" t="s">
        <v>112</v>
      </c>
      <c r="D262" s="12" t="s">
        <v>329</v>
      </c>
      <c r="E262" s="9">
        <f>F262+I262</f>
        <v>4626000</v>
      </c>
      <c r="F262" s="10">
        <f>4182600+200+123200+55000+215000+50000</f>
        <v>4626000</v>
      </c>
      <c r="G262" s="10">
        <f>3003900-10600-5500</f>
        <v>2987800</v>
      </c>
      <c r="H262" s="10">
        <f>307800+200+123200+55000</f>
        <v>486200</v>
      </c>
      <c r="I262" s="10"/>
      <c r="J262" s="9">
        <f t="shared" si="45"/>
        <v>87400</v>
      </c>
      <c r="K262" s="10">
        <v>45000</v>
      </c>
      <c r="L262" s="10">
        <v>42400</v>
      </c>
      <c r="M262" s="10">
        <v>4600</v>
      </c>
      <c r="N262" s="10"/>
      <c r="O262" s="10">
        <f t="shared" si="46"/>
        <v>45000</v>
      </c>
      <c r="P262" s="11">
        <f t="shared" si="39"/>
        <v>4713400</v>
      </c>
    </row>
    <row r="263" spans="1:18" ht="25.5" x14ac:dyDescent="0.2">
      <c r="A263" s="99" t="s">
        <v>333</v>
      </c>
      <c r="B263" s="17" t="s">
        <v>100</v>
      </c>
      <c r="C263" s="17" t="s">
        <v>113</v>
      </c>
      <c r="D263" s="18" t="s">
        <v>332</v>
      </c>
      <c r="E263" s="9">
        <f t="shared" si="44"/>
        <v>11091000</v>
      </c>
      <c r="F263" s="10">
        <f>10089900+17000+480000+215100+340000-150000+99000</f>
        <v>11091000</v>
      </c>
      <c r="G263" s="10">
        <f>6344600-47900</f>
        <v>6296700</v>
      </c>
      <c r="H263" s="10">
        <f>2098600-25000-32200+480000+215100+340000-30000</f>
        <v>3046500</v>
      </c>
      <c r="I263" s="10"/>
      <c r="J263" s="9">
        <f t="shared" si="45"/>
        <v>5248100</v>
      </c>
      <c r="K263" s="10">
        <f>4000000-17000+420000-16900</f>
        <v>4386100</v>
      </c>
      <c r="L263" s="10">
        <v>862000</v>
      </c>
      <c r="M263" s="10">
        <v>145000</v>
      </c>
      <c r="N263" s="10"/>
      <c r="O263" s="10">
        <f t="shared" si="46"/>
        <v>4386100</v>
      </c>
      <c r="P263" s="11">
        <f t="shared" si="39"/>
        <v>16339100</v>
      </c>
    </row>
    <row r="264" spans="1:18" hidden="1" x14ac:dyDescent="0.2">
      <c r="A264" s="99" t="s">
        <v>336</v>
      </c>
      <c r="B264" s="17" t="s">
        <v>335</v>
      </c>
      <c r="C264" s="17"/>
      <c r="D264" s="5" t="s">
        <v>334</v>
      </c>
      <c r="E264" s="9">
        <f t="shared" si="44"/>
        <v>0</v>
      </c>
      <c r="F264" s="10"/>
      <c r="G264" s="10"/>
      <c r="H264" s="10"/>
      <c r="I264" s="10">
        <f>I265+I266</f>
        <v>0</v>
      </c>
      <c r="J264" s="9">
        <f t="shared" si="45"/>
        <v>0</v>
      </c>
      <c r="K264" s="10"/>
      <c r="L264" s="10"/>
      <c r="M264" s="10"/>
      <c r="N264" s="10"/>
      <c r="O264" s="10">
        <f t="shared" si="46"/>
        <v>0</v>
      </c>
      <c r="P264" s="11">
        <f t="shared" si="39"/>
        <v>0</v>
      </c>
    </row>
    <row r="265" spans="1:18" x14ac:dyDescent="0.2">
      <c r="A265" s="99" t="s">
        <v>457</v>
      </c>
      <c r="B265" s="17" t="s">
        <v>455</v>
      </c>
      <c r="C265" s="17" t="s">
        <v>114</v>
      </c>
      <c r="D265" s="5" t="s">
        <v>459</v>
      </c>
      <c r="E265" s="9">
        <f t="shared" si="44"/>
        <v>3060100</v>
      </c>
      <c r="F265" s="10">
        <f>2564100+340000+110000+46000</f>
        <v>3060100</v>
      </c>
      <c r="G265" s="10">
        <f>1959500+280000+110000</f>
        <v>2349500</v>
      </c>
      <c r="H265" s="10"/>
      <c r="I265" s="10"/>
      <c r="J265" s="9">
        <f t="shared" si="45"/>
        <v>89200</v>
      </c>
      <c r="K265" s="10">
        <f>67300+30000-2500-5600</f>
        <v>89200</v>
      </c>
      <c r="L265" s="10"/>
      <c r="M265" s="10"/>
      <c r="N265" s="10"/>
      <c r="O265" s="10">
        <f t="shared" si="46"/>
        <v>89200</v>
      </c>
      <c r="P265" s="11">
        <f t="shared" si="39"/>
        <v>3149300</v>
      </c>
    </row>
    <row r="266" spans="1:18" x14ac:dyDescent="0.2">
      <c r="A266" s="99" t="s">
        <v>458</v>
      </c>
      <c r="B266" s="17" t="s">
        <v>456</v>
      </c>
      <c r="C266" s="17" t="s">
        <v>114</v>
      </c>
      <c r="D266" s="5" t="s">
        <v>460</v>
      </c>
      <c r="E266" s="9">
        <f t="shared" si="44"/>
        <v>3750000</v>
      </c>
      <c r="F266" s="10">
        <f>3190000+230000+30000+300000</f>
        <v>3750000</v>
      </c>
      <c r="G266" s="10"/>
      <c r="H266" s="10"/>
      <c r="I266" s="10"/>
      <c r="J266" s="9">
        <f t="shared" si="45"/>
        <v>0</v>
      </c>
      <c r="K266" s="10"/>
      <c r="L266" s="10"/>
      <c r="M266" s="10"/>
      <c r="N266" s="10"/>
      <c r="O266" s="10">
        <f t="shared" si="46"/>
        <v>0</v>
      </c>
      <c r="P266" s="11">
        <f t="shared" si="39"/>
        <v>3750000</v>
      </c>
    </row>
    <row r="267" spans="1:18" ht="16.149999999999999" customHeight="1" x14ac:dyDescent="0.2">
      <c r="A267" s="97">
        <v>1100000</v>
      </c>
      <c r="B267" s="103"/>
      <c r="C267" s="69"/>
      <c r="D267" s="28" t="s">
        <v>641</v>
      </c>
      <c r="E267" s="22">
        <f>E269</f>
        <v>32165200</v>
      </c>
      <c r="F267" s="22">
        <f>F269</f>
        <v>32165200</v>
      </c>
      <c r="G267" s="22">
        <f>G269</f>
        <v>14715400</v>
      </c>
      <c r="H267" s="22">
        <f>H269</f>
        <v>2047000</v>
      </c>
      <c r="I267" s="22">
        <f>I269</f>
        <v>0</v>
      </c>
      <c r="J267" s="22">
        <f t="shared" ref="J267:P267" si="47">J269</f>
        <v>4268657</v>
      </c>
      <c r="K267" s="22">
        <f>K269</f>
        <v>3453957</v>
      </c>
      <c r="L267" s="22">
        <f t="shared" si="47"/>
        <v>814700</v>
      </c>
      <c r="M267" s="22">
        <f t="shared" si="47"/>
        <v>53800</v>
      </c>
      <c r="N267" s="22">
        <f t="shared" si="47"/>
        <v>137600</v>
      </c>
      <c r="O267" s="22">
        <f t="shared" si="47"/>
        <v>3453957</v>
      </c>
      <c r="P267" s="22">
        <f t="shared" si="47"/>
        <v>36433857</v>
      </c>
      <c r="R267" s="31"/>
    </row>
    <row r="268" spans="1:18" s="1" customFormat="1" ht="16.149999999999999" customHeight="1" x14ac:dyDescent="0.2">
      <c r="A268" s="100"/>
      <c r="B268" s="19"/>
      <c r="C268" s="88"/>
      <c r="D268" s="13" t="s">
        <v>519</v>
      </c>
      <c r="E268" s="15"/>
      <c r="F268" s="15"/>
      <c r="G268" s="15"/>
      <c r="H268" s="15"/>
      <c r="I268" s="15"/>
      <c r="J268" s="15">
        <f t="shared" ref="J268:P268" si="48">J281</f>
        <v>175757</v>
      </c>
      <c r="K268" s="15">
        <f t="shared" si="48"/>
        <v>175757</v>
      </c>
      <c r="L268" s="15">
        <f t="shared" si="48"/>
        <v>0</v>
      </c>
      <c r="M268" s="15">
        <f t="shared" si="48"/>
        <v>0</v>
      </c>
      <c r="N268" s="15">
        <f t="shared" si="48"/>
        <v>0</v>
      </c>
      <c r="O268" s="15">
        <f t="shared" si="48"/>
        <v>175757</v>
      </c>
      <c r="P268" s="29">
        <f t="shared" si="48"/>
        <v>175757</v>
      </c>
      <c r="R268" s="89"/>
    </row>
    <row r="269" spans="1:18" ht="30" customHeight="1" x14ac:dyDescent="0.2">
      <c r="A269" s="99">
        <v>1110000</v>
      </c>
      <c r="B269" s="17"/>
      <c r="C269" s="69"/>
      <c r="D269" s="13" t="s">
        <v>641</v>
      </c>
      <c r="E269" s="22">
        <f>E270+E273+E274+E276+E278+E282+E284+E285</f>
        <v>32165200</v>
      </c>
      <c r="F269" s="22">
        <f>F270+F273+F274+F276+F278+F282+F284+F285</f>
        <v>32165200</v>
      </c>
      <c r="G269" s="22">
        <f>G270+G259+G273+G274+G276+G278+G282+G284+G285</f>
        <v>14715400</v>
      </c>
      <c r="H269" s="22">
        <f>H270+H259+H273+H274+H276+H278+H282+H284+H285</f>
        <v>2047000</v>
      </c>
      <c r="I269" s="22">
        <f>I270+I259+I273+I274+I276+I278+I282+I284+I285</f>
        <v>0</v>
      </c>
      <c r="J269" s="22">
        <f>J270+J278+J282+J285+J284</f>
        <v>4268657</v>
      </c>
      <c r="K269" s="22">
        <f>K270+K271+K272+K277+K280+K275+K283+K282+K285+K284</f>
        <v>3453957</v>
      </c>
      <c r="L269" s="22">
        <f>L270+L271+L272+L277+L280+L275+L283+L282</f>
        <v>814700</v>
      </c>
      <c r="M269" s="22">
        <f>M270+M271+M272+M277+M280+M275+M283+M282</f>
        <v>53800</v>
      </c>
      <c r="N269" s="22">
        <f>N270+N271+N272+N277+N280+N275+N283+N282</f>
        <v>137600</v>
      </c>
      <c r="O269" s="22">
        <f>O270+O271+O272+O277+O280+O275+O283+O282</f>
        <v>3453957</v>
      </c>
      <c r="P269" s="22">
        <f>P270+P273+P274+P276+P278+P282+P284+P285</f>
        <v>36433857</v>
      </c>
    </row>
    <row r="270" spans="1:18" ht="25.5" x14ac:dyDescent="0.2">
      <c r="A270" s="99" t="s">
        <v>337</v>
      </c>
      <c r="B270" s="4" t="s">
        <v>235</v>
      </c>
      <c r="C270" s="23" t="s">
        <v>163</v>
      </c>
      <c r="D270" s="12" t="s">
        <v>642</v>
      </c>
      <c r="E270" s="9">
        <f t="shared" ref="E270:E285" si="49">F270+I270</f>
        <v>2334200</v>
      </c>
      <c r="F270" s="10">
        <f>3571700-824200-138300-100000-175000</f>
        <v>2334200</v>
      </c>
      <c r="G270" s="10">
        <f>2600000-675600-80000-145000</f>
        <v>1699400</v>
      </c>
      <c r="H270" s="10"/>
      <c r="I270" s="10"/>
      <c r="J270" s="9">
        <f>L270+O270</f>
        <v>0</v>
      </c>
      <c r="K270" s="10"/>
      <c r="L270" s="10"/>
      <c r="M270" s="10"/>
      <c r="N270" s="10"/>
      <c r="O270" s="10">
        <f t="shared" ref="O270:O282" si="50">K270</f>
        <v>0</v>
      </c>
      <c r="P270" s="11">
        <f t="shared" ref="P270:P287" si="51">E270+J270</f>
        <v>2334200</v>
      </c>
    </row>
    <row r="271" spans="1:18" hidden="1" x14ac:dyDescent="0.2">
      <c r="A271" s="99" t="s">
        <v>338</v>
      </c>
      <c r="B271" s="17" t="s">
        <v>196</v>
      </c>
      <c r="C271" s="24"/>
      <c r="D271" s="20" t="s">
        <v>190</v>
      </c>
      <c r="E271" s="9">
        <f t="shared" si="49"/>
        <v>0</v>
      </c>
      <c r="F271" s="10"/>
      <c r="G271" s="10"/>
      <c r="H271" s="10"/>
      <c r="I271" s="10"/>
      <c r="J271" s="9">
        <f t="shared" ref="J271:J285" si="52">L271+O271</f>
        <v>0</v>
      </c>
      <c r="K271" s="10"/>
      <c r="L271" s="10"/>
      <c r="M271" s="10"/>
      <c r="N271" s="10"/>
      <c r="O271" s="10">
        <f t="shared" si="50"/>
        <v>0</v>
      </c>
      <c r="P271" s="11">
        <f t="shared" si="51"/>
        <v>0</v>
      </c>
    </row>
    <row r="272" spans="1:18" ht="15.75" hidden="1" customHeight="1" x14ac:dyDescent="0.2">
      <c r="A272" s="99">
        <v>1115010</v>
      </c>
      <c r="B272" s="17" t="s">
        <v>191</v>
      </c>
      <c r="C272" s="24"/>
      <c r="D272" s="18" t="s">
        <v>68</v>
      </c>
      <c r="E272" s="9">
        <f t="shared" si="49"/>
        <v>0</v>
      </c>
      <c r="F272" s="10"/>
      <c r="G272" s="10"/>
      <c r="H272" s="10"/>
      <c r="I272" s="10">
        <f>SUM(I273:I274)</f>
        <v>0</v>
      </c>
      <c r="J272" s="9">
        <f t="shared" si="52"/>
        <v>0</v>
      </c>
      <c r="K272" s="10">
        <f>SUM(K273:K274)</f>
        <v>0</v>
      </c>
      <c r="L272" s="10">
        <f>SUM(L273:L274)</f>
        <v>0</v>
      </c>
      <c r="M272" s="10">
        <f>SUM(M273:M274)</f>
        <v>0</v>
      </c>
      <c r="N272" s="10">
        <f>SUM(N273:N274)</f>
        <v>0</v>
      </c>
      <c r="O272" s="10">
        <f t="shared" si="50"/>
        <v>0</v>
      </c>
      <c r="P272" s="11">
        <f t="shared" si="51"/>
        <v>0</v>
      </c>
    </row>
    <row r="273" spans="1:18" ht="15.75" customHeight="1" x14ac:dyDescent="0.2">
      <c r="A273" s="99">
        <v>1115011</v>
      </c>
      <c r="B273" s="17" t="s">
        <v>79</v>
      </c>
      <c r="C273" s="24" t="s">
        <v>52</v>
      </c>
      <c r="D273" s="5" t="s">
        <v>134</v>
      </c>
      <c r="E273" s="9">
        <f t="shared" si="49"/>
        <v>1250000</v>
      </c>
      <c r="F273" s="10">
        <f>120000+1130000</f>
        <v>1250000</v>
      </c>
      <c r="G273" s="10"/>
      <c r="H273" s="10"/>
      <c r="I273" s="10"/>
      <c r="J273" s="9">
        <f t="shared" si="52"/>
        <v>0</v>
      </c>
      <c r="K273" s="10"/>
      <c r="L273" s="10"/>
      <c r="M273" s="10"/>
      <c r="N273" s="10"/>
      <c r="O273" s="10">
        <f t="shared" si="50"/>
        <v>0</v>
      </c>
      <c r="P273" s="11">
        <f t="shared" si="51"/>
        <v>1250000</v>
      </c>
    </row>
    <row r="274" spans="1:18" ht="19.5" customHeight="1" x14ac:dyDescent="0.2">
      <c r="A274" s="99">
        <v>1115012</v>
      </c>
      <c r="B274" s="17" t="s">
        <v>62</v>
      </c>
      <c r="C274" s="24" t="s">
        <v>52</v>
      </c>
      <c r="D274" s="20" t="s">
        <v>61</v>
      </c>
      <c r="E274" s="9">
        <f t="shared" si="49"/>
        <v>836000</v>
      </c>
      <c r="F274" s="10">
        <f>76000+760000</f>
        <v>836000</v>
      </c>
      <c r="G274" s="10"/>
      <c r="H274" s="10"/>
      <c r="I274" s="10"/>
      <c r="J274" s="9">
        <f t="shared" si="52"/>
        <v>0</v>
      </c>
      <c r="K274" s="10"/>
      <c r="L274" s="10"/>
      <c r="M274" s="10"/>
      <c r="N274" s="10"/>
      <c r="O274" s="10">
        <f t="shared" si="50"/>
        <v>0</v>
      </c>
      <c r="P274" s="11">
        <f t="shared" si="51"/>
        <v>836000</v>
      </c>
    </row>
    <row r="275" spans="1:18" ht="15.75" hidden="1" customHeight="1" x14ac:dyDescent="0.2">
      <c r="A275" s="99" t="s">
        <v>424</v>
      </c>
      <c r="B275" s="17" t="s">
        <v>425</v>
      </c>
      <c r="C275" s="24"/>
      <c r="D275" s="20" t="s">
        <v>469</v>
      </c>
      <c r="E275" s="9">
        <f t="shared" si="49"/>
        <v>0</v>
      </c>
      <c r="F275" s="10"/>
      <c r="G275" s="10"/>
      <c r="H275" s="10"/>
      <c r="I275" s="10">
        <f>I276</f>
        <v>0</v>
      </c>
      <c r="J275" s="9">
        <f t="shared" si="52"/>
        <v>0</v>
      </c>
      <c r="K275" s="10">
        <f>K276</f>
        <v>0</v>
      </c>
      <c r="L275" s="10">
        <f>L276</f>
        <v>0</v>
      </c>
      <c r="M275" s="10">
        <f>M276</f>
        <v>0</v>
      </c>
      <c r="N275" s="10">
        <f>N276</f>
        <v>0</v>
      </c>
      <c r="O275" s="10">
        <f t="shared" si="50"/>
        <v>0</v>
      </c>
      <c r="P275" s="11">
        <f t="shared" si="51"/>
        <v>0</v>
      </c>
    </row>
    <row r="276" spans="1:18" ht="26.25" customHeight="1" x14ac:dyDescent="0.2">
      <c r="A276" s="99" t="s">
        <v>427</v>
      </c>
      <c r="B276" s="17" t="s">
        <v>426</v>
      </c>
      <c r="C276" s="24" t="s">
        <v>52</v>
      </c>
      <c r="D276" s="20" t="s">
        <v>470</v>
      </c>
      <c r="E276" s="9">
        <f t="shared" si="49"/>
        <v>14000</v>
      </c>
      <c r="F276" s="10">
        <f>54000-40000</f>
        <v>14000</v>
      </c>
      <c r="G276" s="10"/>
      <c r="H276" s="10"/>
      <c r="I276" s="10"/>
      <c r="J276" s="9">
        <f t="shared" si="52"/>
        <v>0</v>
      </c>
      <c r="K276" s="10"/>
      <c r="L276" s="10"/>
      <c r="M276" s="10"/>
      <c r="N276" s="10"/>
      <c r="O276" s="10">
        <f t="shared" si="50"/>
        <v>0</v>
      </c>
      <c r="P276" s="11">
        <f t="shared" si="51"/>
        <v>14000</v>
      </c>
    </row>
    <row r="277" spans="1:18" hidden="1" x14ac:dyDescent="0.2">
      <c r="A277" s="99">
        <v>1115030</v>
      </c>
      <c r="B277" s="17" t="s">
        <v>192</v>
      </c>
      <c r="C277" s="24"/>
      <c r="D277" s="5" t="s">
        <v>184</v>
      </c>
      <c r="E277" s="9">
        <f t="shared" si="49"/>
        <v>0</v>
      </c>
      <c r="F277" s="10"/>
      <c r="G277" s="10"/>
      <c r="H277" s="10"/>
      <c r="I277" s="10">
        <f t="shared" ref="I277:N277" si="53">SUM(I278)</f>
        <v>0</v>
      </c>
      <c r="J277" s="9">
        <f t="shared" si="52"/>
        <v>3545057</v>
      </c>
      <c r="K277" s="10">
        <f>SUM(K278)</f>
        <v>2799757</v>
      </c>
      <c r="L277" s="10">
        <f t="shared" si="53"/>
        <v>745300</v>
      </c>
      <c r="M277" s="10">
        <f t="shared" si="53"/>
        <v>43700</v>
      </c>
      <c r="N277" s="10">
        <f t="shared" si="53"/>
        <v>119100</v>
      </c>
      <c r="O277" s="10">
        <f t="shared" si="50"/>
        <v>2799757</v>
      </c>
      <c r="P277" s="11">
        <f t="shared" si="51"/>
        <v>3545057</v>
      </c>
    </row>
    <row r="278" spans="1:18" ht="25.5" x14ac:dyDescent="0.2">
      <c r="A278" s="99">
        <v>1115031</v>
      </c>
      <c r="B278" s="17" t="s">
        <v>185</v>
      </c>
      <c r="C278" s="24" t="s">
        <v>52</v>
      </c>
      <c r="D278" s="5" t="s">
        <v>135</v>
      </c>
      <c r="E278" s="9">
        <f t="shared" si="49"/>
        <v>18172700</v>
      </c>
      <c r="F278" s="10">
        <f>17570700+200000+402000</f>
        <v>18172700</v>
      </c>
      <c r="G278" s="10">
        <f>9892200+820000+575000+329500</f>
        <v>11616700</v>
      </c>
      <c r="H278" s="10">
        <f>1768300+200000</f>
        <v>1968300</v>
      </c>
      <c r="I278" s="10"/>
      <c r="J278" s="9">
        <f t="shared" si="52"/>
        <v>3545057</v>
      </c>
      <c r="K278" s="10">
        <f>2450000+368800-194800+175757</f>
        <v>2799757</v>
      </c>
      <c r="L278" s="10">
        <v>745300</v>
      </c>
      <c r="M278" s="10">
        <v>43700</v>
      </c>
      <c r="N278" s="10">
        <v>119100</v>
      </c>
      <c r="O278" s="10">
        <f t="shared" si="50"/>
        <v>2799757</v>
      </c>
      <c r="P278" s="11">
        <f t="shared" si="51"/>
        <v>21717757</v>
      </c>
    </row>
    <row r="279" spans="1:18" s="1" customFormat="1" ht="18" hidden="1" customHeight="1" x14ac:dyDescent="0.2">
      <c r="A279" s="100"/>
      <c r="B279" s="19"/>
      <c r="C279" s="25"/>
      <c r="D279" s="32" t="s">
        <v>519</v>
      </c>
      <c r="E279" s="8"/>
      <c r="F279" s="15"/>
      <c r="G279" s="15"/>
      <c r="H279" s="15"/>
      <c r="I279" s="15"/>
      <c r="J279" s="9">
        <f t="shared" si="52"/>
        <v>0</v>
      </c>
      <c r="K279" s="15"/>
      <c r="L279" s="15"/>
      <c r="M279" s="15"/>
      <c r="N279" s="15"/>
      <c r="O279" s="15">
        <f>K279</f>
        <v>0</v>
      </c>
      <c r="P279" s="11">
        <f t="shared" si="51"/>
        <v>0</v>
      </c>
    </row>
    <row r="280" spans="1:18" ht="18.75" hidden="1" customHeight="1" x14ac:dyDescent="0.2">
      <c r="A280" s="99">
        <v>1115040</v>
      </c>
      <c r="B280" s="17" t="s">
        <v>186</v>
      </c>
      <c r="C280" s="24"/>
      <c r="D280" s="5" t="s">
        <v>187</v>
      </c>
      <c r="E280" s="9">
        <f>E282</f>
        <v>7415066</v>
      </c>
      <c r="F280" s="9"/>
      <c r="G280" s="9"/>
      <c r="H280" s="9"/>
      <c r="I280" s="9">
        <f>I282</f>
        <v>0</v>
      </c>
      <c r="J280" s="9">
        <f t="shared" si="52"/>
        <v>0</v>
      </c>
      <c r="K280" s="9"/>
      <c r="L280" s="9"/>
      <c r="M280" s="9"/>
      <c r="N280" s="9"/>
      <c r="O280" s="10">
        <f t="shared" si="50"/>
        <v>0</v>
      </c>
      <c r="P280" s="11">
        <f t="shared" si="51"/>
        <v>7415066</v>
      </c>
    </row>
    <row r="281" spans="1:18" s="1" customFormat="1" ht="18.75" customHeight="1" x14ac:dyDescent="0.2">
      <c r="A281" s="100"/>
      <c r="B281" s="19"/>
      <c r="C281" s="25"/>
      <c r="D281" s="21" t="s">
        <v>519</v>
      </c>
      <c r="E281" s="8"/>
      <c r="F281" s="8"/>
      <c r="G281" s="8"/>
      <c r="H281" s="8"/>
      <c r="I281" s="8"/>
      <c r="J281" s="8">
        <f t="shared" si="52"/>
        <v>175757</v>
      </c>
      <c r="K281" s="8">
        <v>175757</v>
      </c>
      <c r="L281" s="8"/>
      <c r="M281" s="8"/>
      <c r="N281" s="8"/>
      <c r="O281" s="15">
        <f>K281</f>
        <v>175757</v>
      </c>
      <c r="P281" s="14">
        <f t="shared" si="51"/>
        <v>175757</v>
      </c>
    </row>
    <row r="282" spans="1:18" ht="17.25" customHeight="1" x14ac:dyDescent="0.2">
      <c r="A282" s="99">
        <v>1115041</v>
      </c>
      <c r="B282" s="17" t="s">
        <v>188</v>
      </c>
      <c r="C282" s="24" t="s">
        <v>52</v>
      </c>
      <c r="D282" s="5" t="s">
        <v>339</v>
      </c>
      <c r="E282" s="9">
        <f t="shared" si="49"/>
        <v>7415066</v>
      </c>
      <c r="F282" s="10">
        <f>7453400-38334</f>
        <v>7415066</v>
      </c>
      <c r="G282" s="10">
        <f>265100-30145</f>
        <v>234955</v>
      </c>
      <c r="H282" s="10">
        <f>485000-406300</f>
        <v>78700</v>
      </c>
      <c r="I282" s="10"/>
      <c r="J282" s="9">
        <f t="shared" si="52"/>
        <v>303400</v>
      </c>
      <c r="K282" s="10">
        <f>551400+37800-505200+150000</f>
        <v>234000</v>
      </c>
      <c r="L282" s="10">
        <v>69400</v>
      </c>
      <c r="M282" s="10">
        <v>10100</v>
      </c>
      <c r="N282" s="10">
        <v>18500</v>
      </c>
      <c r="O282" s="10">
        <f t="shared" si="50"/>
        <v>234000</v>
      </c>
      <c r="P282" s="11">
        <f t="shared" si="51"/>
        <v>7718466</v>
      </c>
    </row>
    <row r="283" spans="1:18" ht="12.75" hidden="1" customHeight="1" x14ac:dyDescent="0.2">
      <c r="A283" s="99" t="s">
        <v>492</v>
      </c>
      <c r="B283" s="17" t="s">
        <v>494</v>
      </c>
      <c r="C283" s="24"/>
      <c r="D283" s="5" t="s">
        <v>493</v>
      </c>
      <c r="E283" s="9">
        <f>E284+E285</f>
        <v>2143234</v>
      </c>
      <c r="F283" s="9"/>
      <c r="G283" s="9"/>
      <c r="H283" s="9"/>
      <c r="I283" s="9">
        <f t="shared" ref="I283:O283" si="54">I284+I285</f>
        <v>0</v>
      </c>
      <c r="J283" s="9">
        <f t="shared" si="54"/>
        <v>420200</v>
      </c>
      <c r="K283" s="9"/>
      <c r="L283" s="9"/>
      <c r="M283" s="9"/>
      <c r="N283" s="9"/>
      <c r="O283" s="9">
        <f t="shared" si="54"/>
        <v>420200</v>
      </c>
      <c r="P283" s="11">
        <f t="shared" si="51"/>
        <v>2563434</v>
      </c>
    </row>
    <row r="284" spans="1:18" s="1" customFormat="1" ht="25.5" x14ac:dyDescent="0.2">
      <c r="A284" s="100" t="s">
        <v>7</v>
      </c>
      <c r="B284" s="19" t="s">
        <v>8</v>
      </c>
      <c r="C284" s="25" t="s">
        <v>52</v>
      </c>
      <c r="D284" s="5" t="s">
        <v>9</v>
      </c>
      <c r="E284" s="9">
        <f t="shared" si="49"/>
        <v>1082934</v>
      </c>
      <c r="F284" s="15">
        <f>1639934+40000-600000+3000</f>
        <v>1082934</v>
      </c>
      <c r="G284" s="15">
        <f>388345+3000+15000</f>
        <v>406345</v>
      </c>
      <c r="H284" s="15"/>
      <c r="I284" s="15"/>
      <c r="J284" s="9">
        <f t="shared" si="52"/>
        <v>355200</v>
      </c>
      <c r="K284" s="15">
        <v>355200</v>
      </c>
      <c r="L284" s="15"/>
      <c r="M284" s="15"/>
      <c r="N284" s="15"/>
      <c r="O284" s="10">
        <f>K284</f>
        <v>355200</v>
      </c>
      <c r="P284" s="14">
        <f t="shared" si="51"/>
        <v>1438134</v>
      </c>
    </row>
    <row r="285" spans="1:18" s="1" customFormat="1" ht="17.25" customHeight="1" x14ac:dyDescent="0.2">
      <c r="A285" s="100" t="s">
        <v>537</v>
      </c>
      <c r="B285" s="19" t="s">
        <v>538</v>
      </c>
      <c r="C285" s="25" t="s">
        <v>52</v>
      </c>
      <c r="D285" s="41" t="s">
        <v>539</v>
      </c>
      <c r="E285" s="9">
        <f t="shared" si="49"/>
        <v>1060300</v>
      </c>
      <c r="F285" s="15">
        <f>1998900-1001600+63000</f>
        <v>1060300</v>
      </c>
      <c r="G285" s="15">
        <f>1076000-400000+63000+19000</f>
        <v>758000</v>
      </c>
      <c r="H285" s="15"/>
      <c r="I285" s="15"/>
      <c r="J285" s="9">
        <f t="shared" si="52"/>
        <v>65000</v>
      </c>
      <c r="K285" s="15">
        <f>1020200-355200-600000</f>
        <v>65000</v>
      </c>
      <c r="L285" s="15"/>
      <c r="M285" s="15"/>
      <c r="N285" s="15"/>
      <c r="O285" s="10">
        <f>K285</f>
        <v>65000</v>
      </c>
      <c r="P285" s="14">
        <f t="shared" si="51"/>
        <v>1125300</v>
      </c>
    </row>
    <row r="286" spans="1:18" ht="25.5" hidden="1" x14ac:dyDescent="0.2">
      <c r="A286" s="97">
        <v>1200000</v>
      </c>
      <c r="B286" s="103"/>
      <c r="C286" s="6"/>
      <c r="D286" s="28" t="s">
        <v>115</v>
      </c>
      <c r="E286" s="22">
        <f>E288</f>
        <v>0</v>
      </c>
      <c r="F286" s="22">
        <f t="shared" ref="F286:O286" si="55">F288</f>
        <v>0</v>
      </c>
      <c r="G286" s="22">
        <f t="shared" si="55"/>
        <v>0</v>
      </c>
      <c r="H286" s="22">
        <f t="shared" si="55"/>
        <v>0</v>
      </c>
      <c r="I286" s="22">
        <f t="shared" si="55"/>
        <v>0</v>
      </c>
      <c r="J286" s="22">
        <f t="shared" si="55"/>
        <v>0</v>
      </c>
      <c r="K286" s="22">
        <f t="shared" si="55"/>
        <v>0</v>
      </c>
      <c r="L286" s="22">
        <f t="shared" si="55"/>
        <v>0</v>
      </c>
      <c r="M286" s="22">
        <f t="shared" si="55"/>
        <v>0</v>
      </c>
      <c r="N286" s="22">
        <f t="shared" si="55"/>
        <v>0</v>
      </c>
      <c r="O286" s="22">
        <f t="shared" si="55"/>
        <v>0</v>
      </c>
      <c r="P286" s="11">
        <f t="shared" si="51"/>
        <v>0</v>
      </c>
      <c r="R286" s="31"/>
    </row>
    <row r="287" spans="1:18" s="1" customFormat="1" hidden="1" x14ac:dyDescent="0.2">
      <c r="A287" s="100"/>
      <c r="B287" s="19"/>
      <c r="C287" s="3"/>
      <c r="D287" s="13" t="s">
        <v>519</v>
      </c>
      <c r="E287" s="22">
        <f>F287+I287</f>
        <v>0</v>
      </c>
      <c r="F287" s="15">
        <f>F302+F310</f>
        <v>0</v>
      </c>
      <c r="G287" s="15"/>
      <c r="H287" s="15"/>
      <c r="I287" s="15"/>
      <c r="J287" s="15">
        <f>K287+L287</f>
        <v>0</v>
      </c>
      <c r="K287" s="15">
        <f>K293+K298</f>
        <v>0</v>
      </c>
      <c r="L287" s="15"/>
      <c r="M287" s="15"/>
      <c r="N287" s="15"/>
      <c r="O287" s="15">
        <f>K287</f>
        <v>0</v>
      </c>
      <c r="P287" s="14">
        <f t="shared" si="51"/>
        <v>0</v>
      </c>
    </row>
    <row r="288" spans="1:18" ht="25.5" hidden="1" x14ac:dyDescent="0.2">
      <c r="A288" s="99" t="s">
        <v>340</v>
      </c>
      <c r="B288" s="17"/>
      <c r="C288" s="6"/>
      <c r="D288" s="13" t="s">
        <v>153</v>
      </c>
      <c r="E288" s="22">
        <f>E289+E290+E291+E300+E301+E352+E297+E307+E386+E312+E313+E387+E304+E303+E314+E299+E315+E308+E294</f>
        <v>0</v>
      </c>
      <c r="F288" s="36">
        <f>F289+F290+F291+F300+F301+F352+F297+F307+F386+F312+F313+F387+F304+F303+F314+F299+F315+F308+F294</f>
        <v>0</v>
      </c>
      <c r="G288" s="22">
        <f>G289+G290+G291+G300+G301+G352+G297+G307+G386+G312+G313+G387+G304+G303+G314+G299+G315+G308</f>
        <v>0</v>
      </c>
      <c r="H288" s="22">
        <f>H289+H290+H291+H300+H301+H352+H297+H307+H386+H312+H313+H387+H304+H303+H314+H299+H315+H308</f>
        <v>0</v>
      </c>
      <c r="I288" s="22">
        <f>I289+I290+I291+I300+I301+I352+I297+I307+I386+I312+I313+I387+I304+I303+I314+I299+I315+I308</f>
        <v>0</v>
      </c>
      <c r="J288" s="22">
        <f>J289</f>
        <v>0</v>
      </c>
      <c r="K288" s="26">
        <f>K289</f>
        <v>0</v>
      </c>
      <c r="L288" s="22">
        <f>L289+L290+L291+L300+L301+L352+L297+L307+L386+L312+L313+L387+L304+L303+L299+L347+L292+L306</f>
        <v>0</v>
      </c>
      <c r="M288" s="22">
        <f>M289+M290+M291+M300+M301+M352+M297+M307+M386+M312+M313+M387+M304+M303+M299+M347+M292+M306</f>
        <v>0</v>
      </c>
      <c r="N288" s="22">
        <f>N289+N290+N291+N300+N301+N352+N297+N307+N386+N312+N313+N387+N304+N303+N299+N347+N292+N306</f>
        <v>0</v>
      </c>
      <c r="O288" s="26">
        <f>O289</f>
        <v>0</v>
      </c>
      <c r="P288" s="22">
        <f>P289</f>
        <v>0</v>
      </c>
    </row>
    <row r="289" spans="1:16" ht="25.5" hidden="1" x14ac:dyDescent="0.2">
      <c r="A289" s="99" t="s">
        <v>341</v>
      </c>
      <c r="B289" s="4" t="s">
        <v>235</v>
      </c>
      <c r="C289" s="4" t="s">
        <v>163</v>
      </c>
      <c r="D289" s="12" t="s">
        <v>642</v>
      </c>
      <c r="E289" s="9">
        <f t="shared" ref="E289:E311" si="56">F289+I289</f>
        <v>0</v>
      </c>
      <c r="F289" s="10"/>
      <c r="G289" s="10"/>
      <c r="H289" s="10"/>
      <c r="I289" s="10"/>
      <c r="J289" s="9">
        <f>L289+O289</f>
        <v>0</v>
      </c>
      <c r="K289" s="10"/>
      <c r="L289" s="10"/>
      <c r="M289" s="10"/>
      <c r="N289" s="10"/>
      <c r="O289" s="10">
        <f t="shared" ref="O289:O313" si="57">K289</f>
        <v>0</v>
      </c>
      <c r="P289" s="11">
        <f t="shared" ref="P289:P304" si="58">E289+J289</f>
        <v>0</v>
      </c>
    </row>
    <row r="290" spans="1:16" ht="25.5" hidden="1" x14ac:dyDescent="0.2">
      <c r="A290" s="99">
        <v>4016010</v>
      </c>
      <c r="B290" s="4" t="s">
        <v>101</v>
      </c>
      <c r="C290" s="4" t="s">
        <v>166</v>
      </c>
      <c r="D290" s="61" t="s">
        <v>122</v>
      </c>
      <c r="E290" s="9">
        <f t="shared" si="56"/>
        <v>0</v>
      </c>
      <c r="F290" s="10"/>
      <c r="G290" s="10"/>
      <c r="H290" s="10"/>
      <c r="I290" s="10"/>
      <c r="J290" s="9">
        <f t="shared" ref="J290:J311" si="59">L290+O290</f>
        <v>0</v>
      </c>
      <c r="K290" s="10"/>
      <c r="L290" s="10"/>
      <c r="M290" s="10"/>
      <c r="N290" s="10"/>
      <c r="O290" s="10">
        <f t="shared" si="57"/>
        <v>0</v>
      </c>
      <c r="P290" s="11">
        <f t="shared" si="58"/>
        <v>0</v>
      </c>
    </row>
    <row r="291" spans="1:16" hidden="1" x14ac:dyDescent="0.2">
      <c r="A291" s="99" t="s">
        <v>343</v>
      </c>
      <c r="B291" s="4" t="s">
        <v>101</v>
      </c>
      <c r="C291" s="4"/>
      <c r="D291" s="70" t="s">
        <v>342</v>
      </c>
      <c r="E291" s="9">
        <f t="shared" si="56"/>
        <v>0</v>
      </c>
      <c r="F291" s="9"/>
      <c r="G291" s="9"/>
      <c r="H291" s="9"/>
      <c r="I291" s="9">
        <f>I292+I295+I296+I294+I347</f>
        <v>0</v>
      </c>
      <c r="J291" s="9">
        <f t="shared" si="59"/>
        <v>0</v>
      </c>
      <c r="K291" s="9"/>
      <c r="L291" s="9"/>
      <c r="M291" s="9"/>
      <c r="N291" s="9">
        <f>N292+N295+N296+N294+N347</f>
        <v>0</v>
      </c>
      <c r="O291" s="10">
        <f t="shared" si="57"/>
        <v>0</v>
      </c>
      <c r="P291" s="11">
        <f t="shared" si="58"/>
        <v>0</v>
      </c>
    </row>
    <row r="292" spans="1:16" s="1" customFormat="1" hidden="1" x14ac:dyDescent="0.2">
      <c r="A292" s="100" t="s">
        <v>346</v>
      </c>
      <c r="B292" s="3" t="s">
        <v>345</v>
      </c>
      <c r="C292" s="3" t="s">
        <v>166</v>
      </c>
      <c r="D292" s="16" t="s">
        <v>344</v>
      </c>
      <c r="E292" s="8">
        <f t="shared" si="56"/>
        <v>0</v>
      </c>
      <c r="F292" s="15"/>
      <c r="G292" s="15"/>
      <c r="H292" s="15"/>
      <c r="I292" s="15"/>
      <c r="J292" s="9">
        <f t="shared" si="59"/>
        <v>0</v>
      </c>
      <c r="K292" s="15"/>
      <c r="L292" s="15"/>
      <c r="M292" s="15"/>
      <c r="N292" s="15"/>
      <c r="O292" s="10">
        <f t="shared" si="57"/>
        <v>0</v>
      </c>
      <c r="P292" s="11">
        <f t="shared" si="58"/>
        <v>0</v>
      </c>
    </row>
    <row r="293" spans="1:16" s="1" customFormat="1" hidden="1" x14ac:dyDescent="0.2">
      <c r="A293" s="100"/>
      <c r="B293" s="3"/>
      <c r="C293" s="3"/>
      <c r="D293" s="13" t="s">
        <v>519</v>
      </c>
      <c r="E293" s="8"/>
      <c r="F293" s="15"/>
      <c r="G293" s="15"/>
      <c r="H293" s="15"/>
      <c r="I293" s="15"/>
      <c r="J293" s="9">
        <f t="shared" si="59"/>
        <v>0</v>
      </c>
      <c r="K293" s="15"/>
      <c r="L293" s="15"/>
      <c r="M293" s="15"/>
      <c r="N293" s="15"/>
      <c r="O293" s="10">
        <f t="shared" si="57"/>
        <v>0</v>
      </c>
      <c r="P293" s="11">
        <f t="shared" si="58"/>
        <v>0</v>
      </c>
    </row>
    <row r="294" spans="1:16" hidden="1" x14ac:dyDescent="0.2">
      <c r="A294" s="99" t="s">
        <v>499</v>
      </c>
      <c r="B294" s="4" t="s">
        <v>500</v>
      </c>
      <c r="C294" s="4" t="s">
        <v>116</v>
      </c>
      <c r="D294" s="18" t="s">
        <v>501</v>
      </c>
      <c r="E294" s="9">
        <f t="shared" si="56"/>
        <v>0</v>
      </c>
      <c r="F294" s="10"/>
      <c r="G294" s="10"/>
      <c r="H294" s="10"/>
      <c r="I294" s="10"/>
      <c r="J294" s="9">
        <f t="shared" si="59"/>
        <v>0</v>
      </c>
      <c r="K294" s="10"/>
      <c r="L294" s="10"/>
      <c r="M294" s="10"/>
      <c r="N294" s="10"/>
      <c r="O294" s="10">
        <f t="shared" si="57"/>
        <v>0</v>
      </c>
      <c r="P294" s="11">
        <f t="shared" si="58"/>
        <v>0</v>
      </c>
    </row>
    <row r="295" spans="1:16" s="1" customFormat="1" hidden="1" x14ac:dyDescent="0.2">
      <c r="A295" s="100" t="s">
        <v>348</v>
      </c>
      <c r="B295" s="3" t="s">
        <v>347</v>
      </c>
      <c r="C295" s="3" t="s">
        <v>116</v>
      </c>
      <c r="D295" s="16" t="s">
        <v>349</v>
      </c>
      <c r="E295" s="8">
        <f t="shared" si="56"/>
        <v>0</v>
      </c>
      <c r="F295" s="15"/>
      <c r="G295" s="15"/>
      <c r="H295" s="15"/>
      <c r="I295" s="15"/>
      <c r="J295" s="9">
        <f t="shared" si="59"/>
        <v>0</v>
      </c>
      <c r="K295" s="15"/>
      <c r="L295" s="15"/>
      <c r="M295" s="15"/>
      <c r="N295" s="15"/>
      <c r="O295" s="10">
        <f t="shared" si="57"/>
        <v>0</v>
      </c>
      <c r="P295" s="11">
        <f t="shared" si="58"/>
        <v>0</v>
      </c>
    </row>
    <row r="296" spans="1:16" s="1" customFormat="1" ht="25.5" hidden="1" x14ac:dyDescent="0.2">
      <c r="A296" s="100" t="s">
        <v>353</v>
      </c>
      <c r="B296" s="3" t="s">
        <v>354</v>
      </c>
      <c r="C296" s="3" t="s">
        <v>116</v>
      </c>
      <c r="D296" s="16" t="s">
        <v>207</v>
      </c>
      <c r="E296" s="8">
        <f t="shared" si="56"/>
        <v>0</v>
      </c>
      <c r="F296" s="15"/>
      <c r="G296" s="15"/>
      <c r="H296" s="15"/>
      <c r="I296" s="15"/>
      <c r="J296" s="9">
        <f t="shared" si="59"/>
        <v>0</v>
      </c>
      <c r="K296" s="15"/>
      <c r="L296" s="15"/>
      <c r="M296" s="15"/>
      <c r="N296" s="15"/>
      <c r="O296" s="10">
        <f t="shared" si="57"/>
        <v>0</v>
      </c>
      <c r="P296" s="11">
        <f t="shared" si="58"/>
        <v>0</v>
      </c>
    </row>
    <row r="297" spans="1:16" ht="29.25" hidden="1" customHeight="1" x14ac:dyDescent="0.2">
      <c r="A297" s="99" t="s">
        <v>358</v>
      </c>
      <c r="B297" s="71">
        <v>6020</v>
      </c>
      <c r="C297" s="4" t="s">
        <v>116</v>
      </c>
      <c r="D297" s="5" t="s">
        <v>357</v>
      </c>
      <c r="E297" s="8">
        <f t="shared" si="56"/>
        <v>0</v>
      </c>
      <c r="F297" s="10"/>
      <c r="G297" s="10"/>
      <c r="H297" s="10"/>
      <c r="I297" s="10"/>
      <c r="J297" s="9">
        <f t="shared" si="59"/>
        <v>0</v>
      </c>
      <c r="K297" s="10"/>
      <c r="L297" s="10"/>
      <c r="M297" s="10"/>
      <c r="N297" s="10"/>
      <c r="O297" s="10">
        <f>K297</f>
        <v>0</v>
      </c>
      <c r="P297" s="11">
        <f>E297+J297</f>
        <v>0</v>
      </c>
    </row>
    <row r="298" spans="1:16" s="1" customFormat="1" hidden="1" x14ac:dyDescent="0.2">
      <c r="A298" s="100"/>
      <c r="B298" s="72"/>
      <c r="C298" s="3"/>
      <c r="D298" s="13" t="s">
        <v>519</v>
      </c>
      <c r="E298" s="8">
        <f t="shared" si="56"/>
        <v>0</v>
      </c>
      <c r="F298" s="15"/>
      <c r="G298" s="15"/>
      <c r="H298" s="15"/>
      <c r="I298" s="15"/>
      <c r="J298" s="8">
        <f t="shared" si="59"/>
        <v>0</v>
      </c>
      <c r="K298" s="15"/>
      <c r="L298" s="15"/>
      <c r="M298" s="15"/>
      <c r="N298" s="15"/>
      <c r="O298" s="15">
        <f>K298</f>
        <v>0</v>
      </c>
      <c r="P298" s="14">
        <f>E298+J298</f>
        <v>0</v>
      </c>
    </row>
    <row r="299" spans="1:16" ht="25.5" hidden="1" x14ac:dyDescent="0.2">
      <c r="A299" s="99" t="s">
        <v>358</v>
      </c>
      <c r="B299" s="71">
        <v>6020</v>
      </c>
      <c r="C299" s="4" t="s">
        <v>116</v>
      </c>
      <c r="D299" s="13" t="s">
        <v>357</v>
      </c>
      <c r="E299" s="8">
        <f t="shared" si="56"/>
        <v>0</v>
      </c>
      <c r="F299" s="10"/>
      <c r="G299" s="10"/>
      <c r="H299" s="10"/>
      <c r="I299" s="10"/>
      <c r="J299" s="9">
        <f t="shared" si="59"/>
        <v>0</v>
      </c>
      <c r="K299" s="10"/>
      <c r="L299" s="10"/>
      <c r="M299" s="10"/>
      <c r="N299" s="10"/>
      <c r="O299" s="10">
        <f>K299</f>
        <v>0</v>
      </c>
      <c r="P299" s="11">
        <f>E299+J299</f>
        <v>0</v>
      </c>
    </row>
    <row r="300" spans="1:16" ht="15" hidden="1" customHeight="1" x14ac:dyDescent="0.2">
      <c r="A300" s="99" t="s">
        <v>352</v>
      </c>
      <c r="B300" s="4" t="s">
        <v>351</v>
      </c>
      <c r="C300" s="4" t="s">
        <v>116</v>
      </c>
      <c r="D300" s="18" t="s">
        <v>350</v>
      </c>
      <c r="E300" s="9">
        <f t="shared" si="56"/>
        <v>0</v>
      </c>
      <c r="F300" s="73"/>
      <c r="G300" s="73"/>
      <c r="H300" s="73"/>
      <c r="I300" s="27"/>
      <c r="J300" s="9">
        <f t="shared" si="59"/>
        <v>0</v>
      </c>
      <c r="K300" s="27"/>
      <c r="L300" s="27"/>
      <c r="M300" s="27"/>
      <c r="N300" s="27"/>
      <c r="O300" s="27">
        <f>K300</f>
        <v>0</v>
      </c>
      <c r="P300" s="11">
        <f t="shared" si="58"/>
        <v>0</v>
      </c>
    </row>
    <row r="301" spans="1:16" ht="29.25" hidden="1" customHeight="1" x14ac:dyDescent="0.2">
      <c r="A301" s="99">
        <v>4016100</v>
      </c>
      <c r="B301" s="67" t="s">
        <v>206</v>
      </c>
      <c r="C301" s="67" t="s">
        <v>116</v>
      </c>
      <c r="D301" s="20" t="s">
        <v>207</v>
      </c>
      <c r="E301" s="9">
        <f t="shared" si="56"/>
        <v>0</v>
      </c>
      <c r="F301" s="10"/>
      <c r="G301" s="10"/>
      <c r="H301" s="10"/>
      <c r="I301" s="10"/>
      <c r="J301" s="9">
        <f t="shared" si="59"/>
        <v>0</v>
      </c>
      <c r="K301" s="10"/>
      <c r="L301" s="10"/>
      <c r="M301" s="10"/>
      <c r="N301" s="10"/>
      <c r="O301" s="10">
        <f>K301</f>
        <v>0</v>
      </c>
      <c r="P301" s="11">
        <f t="shared" si="58"/>
        <v>0</v>
      </c>
    </row>
    <row r="302" spans="1:16" hidden="1" x14ac:dyDescent="0.2">
      <c r="A302" s="99"/>
      <c r="B302" s="67"/>
      <c r="C302" s="67"/>
      <c r="D302" s="13" t="s">
        <v>519</v>
      </c>
      <c r="E302" s="8">
        <f t="shared" si="56"/>
        <v>0</v>
      </c>
      <c r="F302" s="15"/>
      <c r="G302" s="10"/>
      <c r="H302" s="10"/>
      <c r="I302" s="10"/>
      <c r="J302" s="9"/>
      <c r="K302" s="10"/>
      <c r="L302" s="10"/>
      <c r="M302" s="10"/>
      <c r="N302" s="10"/>
      <c r="O302" s="10"/>
      <c r="P302" s="14">
        <f t="shared" si="58"/>
        <v>0</v>
      </c>
    </row>
    <row r="303" spans="1:16" ht="15.75" hidden="1" x14ac:dyDescent="0.25">
      <c r="A303" s="99" t="s">
        <v>356</v>
      </c>
      <c r="B303" s="67" t="s">
        <v>355</v>
      </c>
      <c r="C303" s="67" t="s">
        <v>116</v>
      </c>
      <c r="D303" s="40" t="s">
        <v>211</v>
      </c>
      <c r="E303" s="9">
        <f t="shared" si="56"/>
        <v>0</v>
      </c>
      <c r="F303" s="10"/>
      <c r="G303" s="10"/>
      <c r="H303" s="10"/>
      <c r="I303" s="10"/>
      <c r="J303" s="9">
        <f t="shared" si="59"/>
        <v>0</v>
      </c>
      <c r="K303" s="10"/>
      <c r="L303" s="10"/>
      <c r="M303" s="10"/>
      <c r="N303" s="10"/>
      <c r="O303" s="10">
        <f t="shared" si="57"/>
        <v>0</v>
      </c>
      <c r="P303" s="11">
        <f t="shared" si="58"/>
        <v>0</v>
      </c>
    </row>
    <row r="304" spans="1:16" hidden="1" x14ac:dyDescent="0.2">
      <c r="A304" s="99" t="s">
        <v>361</v>
      </c>
      <c r="B304" s="71">
        <v>6070</v>
      </c>
      <c r="C304" s="4"/>
      <c r="D304" s="20" t="s">
        <v>359</v>
      </c>
      <c r="E304" s="9">
        <f>F304+I304</f>
        <v>0</v>
      </c>
      <c r="F304" s="10"/>
      <c r="G304" s="10"/>
      <c r="H304" s="10"/>
      <c r="I304" s="10">
        <f>I305</f>
        <v>0</v>
      </c>
      <c r="J304" s="9">
        <f t="shared" si="59"/>
        <v>0</v>
      </c>
      <c r="K304" s="10"/>
      <c r="L304" s="10"/>
      <c r="M304" s="10"/>
      <c r="N304" s="10">
        <f>N305</f>
        <v>0</v>
      </c>
      <c r="O304" s="10">
        <f t="shared" si="57"/>
        <v>0</v>
      </c>
      <c r="P304" s="11">
        <f t="shared" si="58"/>
        <v>0</v>
      </c>
    </row>
    <row r="305" spans="1:18" s="1" customFormat="1" ht="114.75" hidden="1" x14ac:dyDescent="0.2">
      <c r="A305" s="100" t="s">
        <v>362</v>
      </c>
      <c r="B305" s="72">
        <v>6072</v>
      </c>
      <c r="C305" s="3" t="s">
        <v>208</v>
      </c>
      <c r="D305" s="56" t="s">
        <v>360</v>
      </c>
      <c r="E305" s="8">
        <f>F305+I305</f>
        <v>0</v>
      </c>
      <c r="F305" s="15"/>
      <c r="G305" s="15"/>
      <c r="H305" s="15"/>
      <c r="I305" s="15"/>
      <c r="J305" s="9">
        <f t="shared" si="59"/>
        <v>0</v>
      </c>
      <c r="K305" s="15"/>
      <c r="L305" s="15"/>
      <c r="M305" s="15"/>
      <c r="N305" s="15"/>
      <c r="O305" s="10">
        <f t="shared" si="57"/>
        <v>0</v>
      </c>
      <c r="P305" s="14"/>
    </row>
    <row r="306" spans="1:18" hidden="1" x14ac:dyDescent="0.2">
      <c r="A306" s="99" t="s">
        <v>620</v>
      </c>
      <c r="B306" s="67" t="s">
        <v>406</v>
      </c>
      <c r="C306" s="4" t="s">
        <v>407</v>
      </c>
      <c r="D306" s="12" t="s">
        <v>405</v>
      </c>
      <c r="E306" s="9"/>
      <c r="F306" s="10"/>
      <c r="G306" s="10"/>
      <c r="H306" s="10"/>
      <c r="I306" s="10"/>
      <c r="J306" s="9">
        <f t="shared" si="59"/>
        <v>0</v>
      </c>
      <c r="K306" s="10"/>
      <c r="L306" s="10"/>
      <c r="M306" s="10"/>
      <c r="N306" s="10"/>
      <c r="O306" s="10">
        <f>K306</f>
        <v>0</v>
      </c>
      <c r="P306" s="11">
        <f t="shared" ref="P306:P326" si="60">E306+J306</f>
        <v>0</v>
      </c>
    </row>
    <row r="307" spans="1:18" hidden="1" x14ac:dyDescent="0.2">
      <c r="A307" s="99" t="s">
        <v>365</v>
      </c>
      <c r="B307" s="17" t="s">
        <v>364</v>
      </c>
      <c r="C307" s="4"/>
      <c r="D307" s="18" t="s">
        <v>363</v>
      </c>
      <c r="E307" s="9">
        <f t="shared" si="56"/>
        <v>0</v>
      </c>
      <c r="F307" s="10"/>
      <c r="G307" s="10"/>
      <c r="H307" s="10"/>
      <c r="I307" s="10">
        <f>I308+I309+I311</f>
        <v>0</v>
      </c>
      <c r="J307" s="9">
        <f t="shared" si="59"/>
        <v>0</v>
      </c>
      <c r="K307" s="10"/>
      <c r="L307" s="10"/>
      <c r="M307" s="10"/>
      <c r="N307" s="10">
        <f>N308+N309+N311</f>
        <v>0</v>
      </c>
      <c r="O307" s="10">
        <f t="shared" si="57"/>
        <v>0</v>
      </c>
      <c r="P307" s="11">
        <f t="shared" si="60"/>
        <v>0</v>
      </c>
    </row>
    <row r="308" spans="1:18" ht="25.5" hidden="1" x14ac:dyDescent="0.2">
      <c r="A308" s="99" t="s">
        <v>368</v>
      </c>
      <c r="B308" s="17" t="s">
        <v>367</v>
      </c>
      <c r="C308" s="4" t="s">
        <v>117</v>
      </c>
      <c r="D308" s="18" t="s">
        <v>366</v>
      </c>
      <c r="E308" s="9">
        <f t="shared" si="56"/>
        <v>0</v>
      </c>
      <c r="F308" s="10"/>
      <c r="G308" s="10"/>
      <c r="H308" s="10"/>
      <c r="I308" s="10"/>
      <c r="J308" s="9">
        <f t="shared" si="59"/>
        <v>0</v>
      </c>
      <c r="K308" s="10"/>
      <c r="L308" s="10"/>
      <c r="M308" s="10"/>
      <c r="N308" s="10"/>
      <c r="O308" s="10">
        <f t="shared" si="57"/>
        <v>0</v>
      </c>
      <c r="P308" s="11">
        <f t="shared" si="60"/>
        <v>0</v>
      </c>
    </row>
    <row r="309" spans="1:18" s="1" customFormat="1" ht="25.5" hidden="1" x14ac:dyDescent="0.2">
      <c r="A309" s="100" t="s">
        <v>371</v>
      </c>
      <c r="B309" s="19" t="s">
        <v>370</v>
      </c>
      <c r="C309" s="19" t="s">
        <v>117</v>
      </c>
      <c r="D309" s="21" t="s">
        <v>369</v>
      </c>
      <c r="E309" s="8">
        <f t="shared" si="56"/>
        <v>0</v>
      </c>
      <c r="F309" s="15"/>
      <c r="G309" s="15"/>
      <c r="H309" s="15"/>
      <c r="I309" s="15"/>
      <c r="J309" s="9">
        <f t="shared" si="59"/>
        <v>0</v>
      </c>
      <c r="K309" s="15"/>
      <c r="L309" s="15"/>
      <c r="M309" s="15"/>
      <c r="N309" s="15"/>
      <c r="O309" s="10">
        <f t="shared" si="57"/>
        <v>0</v>
      </c>
      <c r="P309" s="11">
        <f t="shared" si="60"/>
        <v>0</v>
      </c>
    </row>
    <row r="310" spans="1:18" s="1" customFormat="1" hidden="1" x14ac:dyDescent="0.2">
      <c r="A310" s="100"/>
      <c r="B310" s="19"/>
      <c r="C310" s="19"/>
      <c r="D310" s="13" t="s">
        <v>519</v>
      </c>
      <c r="E310" s="8">
        <f t="shared" si="56"/>
        <v>0</v>
      </c>
      <c r="F310" s="15"/>
      <c r="G310" s="15"/>
      <c r="H310" s="15"/>
      <c r="I310" s="15"/>
      <c r="J310" s="9"/>
      <c r="K310" s="15"/>
      <c r="L310" s="15"/>
      <c r="M310" s="15"/>
      <c r="N310" s="15"/>
      <c r="O310" s="10"/>
      <c r="P310" s="11">
        <f t="shared" si="60"/>
        <v>0</v>
      </c>
    </row>
    <row r="311" spans="1:18" s="1" customFormat="1" ht="25.5" hidden="1" customHeight="1" x14ac:dyDescent="0.2">
      <c r="A311" s="100" t="s">
        <v>374</v>
      </c>
      <c r="B311" s="19" t="s">
        <v>373</v>
      </c>
      <c r="C311" s="19" t="s">
        <v>117</v>
      </c>
      <c r="D311" s="21" t="s">
        <v>372</v>
      </c>
      <c r="E311" s="8">
        <f t="shared" si="56"/>
        <v>0</v>
      </c>
      <c r="F311" s="15"/>
      <c r="G311" s="15"/>
      <c r="H311" s="15"/>
      <c r="I311" s="15"/>
      <c r="J311" s="9">
        <f t="shared" si="59"/>
        <v>0</v>
      </c>
      <c r="K311" s="15"/>
      <c r="L311" s="15"/>
      <c r="M311" s="15"/>
      <c r="N311" s="15"/>
      <c r="O311" s="10">
        <f t="shared" si="57"/>
        <v>0</v>
      </c>
      <c r="P311" s="14">
        <f t="shared" si="60"/>
        <v>0</v>
      </c>
    </row>
    <row r="312" spans="1:18" hidden="1" x14ac:dyDescent="0.2">
      <c r="A312" s="99" t="s">
        <v>376</v>
      </c>
      <c r="B312" s="17" t="s">
        <v>223</v>
      </c>
      <c r="C312" s="4" t="s">
        <v>169</v>
      </c>
      <c r="D312" s="18" t="s">
        <v>375</v>
      </c>
      <c r="E312" s="9"/>
      <c r="F312" s="10"/>
      <c r="G312" s="10"/>
      <c r="H312" s="10"/>
      <c r="I312" s="10"/>
      <c r="J312" s="9">
        <f>L312+O312</f>
        <v>0</v>
      </c>
      <c r="K312" s="10"/>
      <c r="L312" s="10"/>
      <c r="M312" s="10"/>
      <c r="N312" s="10"/>
      <c r="O312" s="10">
        <f t="shared" si="57"/>
        <v>0</v>
      </c>
      <c r="P312" s="11">
        <f t="shared" si="60"/>
        <v>0</v>
      </c>
    </row>
    <row r="313" spans="1:18" hidden="1" x14ac:dyDescent="0.2">
      <c r="A313" s="99" t="s">
        <v>379</v>
      </c>
      <c r="B313" s="17" t="s">
        <v>378</v>
      </c>
      <c r="C313" s="4" t="s">
        <v>208</v>
      </c>
      <c r="D313" s="5" t="s">
        <v>377</v>
      </c>
      <c r="E313" s="9"/>
      <c r="F313" s="27"/>
      <c r="G313" s="27"/>
      <c r="H313" s="27"/>
      <c r="I313" s="27"/>
      <c r="J313" s="9">
        <f>L313+O313</f>
        <v>0</v>
      </c>
      <c r="K313" s="27"/>
      <c r="L313" s="27"/>
      <c r="M313" s="27"/>
      <c r="N313" s="27"/>
      <c r="O313" s="10">
        <f t="shared" si="57"/>
        <v>0</v>
      </c>
      <c r="P313" s="11">
        <f t="shared" si="60"/>
        <v>0</v>
      </c>
    </row>
    <row r="314" spans="1:18" hidden="1" x14ac:dyDescent="0.2">
      <c r="A314" s="99" t="s">
        <v>598</v>
      </c>
      <c r="B314" s="4" t="s">
        <v>232</v>
      </c>
      <c r="C314" s="3" t="s">
        <v>169</v>
      </c>
      <c r="D314" s="60" t="s">
        <v>233</v>
      </c>
      <c r="E314" s="9">
        <f>F314+I314</f>
        <v>0</v>
      </c>
      <c r="F314" s="9"/>
      <c r="G314" s="9"/>
      <c r="H314" s="9"/>
      <c r="I314" s="9"/>
      <c r="J314" s="9">
        <f>L314+O314</f>
        <v>0</v>
      </c>
      <c r="K314" s="9"/>
      <c r="L314" s="9"/>
      <c r="M314" s="9"/>
      <c r="N314" s="9"/>
      <c r="O314" s="10"/>
      <c r="P314" s="11">
        <f t="shared" si="60"/>
        <v>0</v>
      </c>
    </row>
    <row r="315" spans="1:18" ht="25.5" hidden="1" x14ac:dyDescent="0.2">
      <c r="A315" s="99" t="s">
        <v>604</v>
      </c>
      <c r="B315" s="4" t="s">
        <v>226</v>
      </c>
      <c r="C315" s="4" t="s">
        <v>172</v>
      </c>
      <c r="D315" s="68" t="s">
        <v>433</v>
      </c>
      <c r="E315" s="9">
        <f>F315+I315</f>
        <v>0</v>
      </c>
      <c r="F315" s="9"/>
      <c r="G315" s="9"/>
      <c r="H315" s="9"/>
      <c r="I315" s="9"/>
      <c r="J315" s="9">
        <f>L315+O315</f>
        <v>0</v>
      </c>
      <c r="K315" s="9"/>
      <c r="L315" s="9"/>
      <c r="M315" s="9"/>
      <c r="N315" s="9"/>
      <c r="O315" s="10"/>
      <c r="P315" s="11">
        <f t="shared" si="60"/>
        <v>0</v>
      </c>
    </row>
    <row r="316" spans="1:18" ht="25.5" x14ac:dyDescent="0.2">
      <c r="A316" s="97">
        <v>1500000</v>
      </c>
      <c r="B316" s="103"/>
      <c r="C316" s="6"/>
      <c r="D316" s="28" t="s">
        <v>6</v>
      </c>
      <c r="E316" s="22">
        <f>E326</f>
        <v>191240391</v>
      </c>
      <c r="F316" s="22">
        <f t="shared" ref="F316:O316" si="61">F326</f>
        <v>191240391</v>
      </c>
      <c r="G316" s="22">
        <f t="shared" si="61"/>
        <v>7282700</v>
      </c>
      <c r="H316" s="22">
        <f t="shared" si="61"/>
        <v>12298361</v>
      </c>
      <c r="I316" s="22">
        <f t="shared" si="61"/>
        <v>0</v>
      </c>
      <c r="J316" s="22">
        <f t="shared" si="61"/>
        <v>372166160</v>
      </c>
      <c r="K316" s="22">
        <f>K326</f>
        <v>340730160</v>
      </c>
      <c r="L316" s="22">
        <f t="shared" si="61"/>
        <v>0</v>
      </c>
      <c r="M316" s="22">
        <f t="shared" si="61"/>
        <v>0</v>
      </c>
      <c r="N316" s="22">
        <f t="shared" si="61"/>
        <v>0</v>
      </c>
      <c r="O316" s="22">
        <f t="shared" si="61"/>
        <v>372166160</v>
      </c>
      <c r="P316" s="11">
        <f t="shared" si="60"/>
        <v>563406551</v>
      </c>
      <c r="R316" s="31"/>
    </row>
    <row r="317" spans="1:18" s="1" customFormat="1" hidden="1" x14ac:dyDescent="0.2">
      <c r="A317" s="100"/>
      <c r="B317" s="19"/>
      <c r="C317" s="3"/>
      <c r="D317" s="13" t="s">
        <v>519</v>
      </c>
      <c r="E317" s="15"/>
      <c r="F317" s="15"/>
      <c r="G317" s="15"/>
      <c r="H317" s="15"/>
      <c r="I317" s="15"/>
      <c r="J317" s="15">
        <f>L317+O317</f>
        <v>0</v>
      </c>
      <c r="K317" s="15">
        <f>K338+K358</f>
        <v>0</v>
      </c>
      <c r="L317" s="15"/>
      <c r="M317" s="15"/>
      <c r="N317" s="15"/>
      <c r="O317" s="15">
        <f>K317</f>
        <v>0</v>
      </c>
      <c r="P317" s="14">
        <f t="shared" si="60"/>
        <v>0</v>
      </c>
    </row>
    <row r="318" spans="1:18" s="1" customFormat="1" ht="51" hidden="1" x14ac:dyDescent="0.2">
      <c r="A318" s="100"/>
      <c r="B318" s="19"/>
      <c r="C318" s="3"/>
      <c r="D318" s="16" t="s">
        <v>607</v>
      </c>
      <c r="E318" s="15"/>
      <c r="F318" s="15"/>
      <c r="G318" s="15"/>
      <c r="H318" s="15"/>
      <c r="I318" s="15"/>
      <c r="J318" s="15">
        <f t="shared" ref="J318:O318" si="62">J357</f>
        <v>0</v>
      </c>
      <c r="K318" s="15">
        <f t="shared" si="62"/>
        <v>0</v>
      </c>
      <c r="L318" s="15">
        <f t="shared" si="62"/>
        <v>0</v>
      </c>
      <c r="M318" s="15">
        <f t="shared" si="62"/>
        <v>0</v>
      </c>
      <c r="N318" s="15">
        <f t="shared" si="62"/>
        <v>0</v>
      </c>
      <c r="O318" s="15">
        <f t="shared" si="62"/>
        <v>0</v>
      </c>
      <c r="P318" s="14">
        <f t="shared" si="60"/>
        <v>0</v>
      </c>
    </row>
    <row r="319" spans="1:18" s="1" customFormat="1" hidden="1" x14ac:dyDescent="0.2">
      <c r="A319" s="100"/>
      <c r="B319" s="19"/>
      <c r="C319" s="3"/>
      <c r="D319" s="16"/>
      <c r="E319" s="15"/>
      <c r="F319" s="15"/>
      <c r="G319" s="15"/>
      <c r="H319" s="15"/>
      <c r="I319" s="15"/>
      <c r="J319" s="15">
        <f t="shared" ref="J319:P319" si="63">J350</f>
        <v>0</v>
      </c>
      <c r="K319" s="15">
        <f t="shared" si="63"/>
        <v>0</v>
      </c>
      <c r="L319" s="15">
        <f t="shared" si="63"/>
        <v>0</v>
      </c>
      <c r="M319" s="15">
        <f t="shared" si="63"/>
        <v>0</v>
      </c>
      <c r="N319" s="15">
        <f t="shared" si="63"/>
        <v>0</v>
      </c>
      <c r="O319" s="15">
        <f t="shared" si="63"/>
        <v>0</v>
      </c>
      <c r="P319" s="29">
        <f t="shared" si="63"/>
        <v>0</v>
      </c>
    </row>
    <row r="320" spans="1:18" s="1" customFormat="1" ht="25.5" x14ac:dyDescent="0.2">
      <c r="A320" s="100"/>
      <c r="B320" s="19"/>
      <c r="C320" s="3"/>
      <c r="D320" s="16" t="s">
        <v>554</v>
      </c>
      <c r="E320" s="15">
        <f>E350</f>
        <v>0</v>
      </c>
      <c r="F320" s="15">
        <f>F350</f>
        <v>0</v>
      </c>
      <c r="G320" s="15"/>
      <c r="H320" s="15"/>
      <c r="I320" s="15"/>
      <c r="J320" s="15">
        <f t="shared" ref="J320:P320" si="64">J374+J354</f>
        <v>19588599</v>
      </c>
      <c r="K320" s="15">
        <f t="shared" si="64"/>
        <v>19588599</v>
      </c>
      <c r="L320" s="15">
        <f t="shared" si="64"/>
        <v>0</v>
      </c>
      <c r="M320" s="15">
        <f t="shared" si="64"/>
        <v>0</v>
      </c>
      <c r="N320" s="15">
        <f t="shared" si="64"/>
        <v>0</v>
      </c>
      <c r="O320" s="15">
        <f t="shared" si="64"/>
        <v>19588599</v>
      </c>
      <c r="P320" s="29">
        <f t="shared" si="64"/>
        <v>19588599</v>
      </c>
    </row>
    <row r="321" spans="1:17" s="1" customFormat="1" ht="25.5" x14ac:dyDescent="0.2">
      <c r="A321" s="100"/>
      <c r="B321" s="19"/>
      <c r="C321" s="3"/>
      <c r="D321" s="32" t="s">
        <v>546</v>
      </c>
      <c r="E321" s="15"/>
      <c r="F321" s="15"/>
      <c r="G321" s="15"/>
      <c r="H321" s="15"/>
      <c r="I321" s="15"/>
      <c r="J321" s="15">
        <f t="shared" ref="J321:O321" si="65">J376</f>
        <v>54885444</v>
      </c>
      <c r="K321" s="15">
        <f t="shared" si="65"/>
        <v>54885444</v>
      </c>
      <c r="L321" s="15">
        <f t="shared" si="65"/>
        <v>0</v>
      </c>
      <c r="M321" s="15">
        <f t="shared" si="65"/>
        <v>0</v>
      </c>
      <c r="N321" s="15">
        <f t="shared" si="65"/>
        <v>0</v>
      </c>
      <c r="O321" s="15">
        <f t="shared" si="65"/>
        <v>54885444</v>
      </c>
      <c r="P321" s="14">
        <f t="shared" si="60"/>
        <v>54885444</v>
      </c>
    </row>
    <row r="322" spans="1:17" s="1" customFormat="1" ht="25.5" x14ac:dyDescent="0.2">
      <c r="A322" s="100"/>
      <c r="B322" s="19"/>
      <c r="C322" s="3"/>
      <c r="D322" s="21" t="s">
        <v>690</v>
      </c>
      <c r="E322" s="15"/>
      <c r="F322" s="15"/>
      <c r="G322" s="15"/>
      <c r="H322" s="15"/>
      <c r="I322" s="15"/>
      <c r="J322" s="15">
        <f>L322+O322</f>
        <v>10000000</v>
      </c>
      <c r="K322" s="15">
        <f>O322</f>
        <v>10000000</v>
      </c>
      <c r="L322" s="15"/>
      <c r="M322" s="15"/>
      <c r="N322" s="15"/>
      <c r="O322" s="15">
        <f>O335</f>
        <v>10000000</v>
      </c>
      <c r="P322" s="14">
        <f t="shared" si="60"/>
        <v>10000000</v>
      </c>
    </row>
    <row r="323" spans="1:17" s="1" customFormat="1" ht="25.5" x14ac:dyDescent="0.2">
      <c r="A323" s="100"/>
      <c r="B323" s="19"/>
      <c r="C323" s="3"/>
      <c r="D323" s="56" t="s">
        <v>46</v>
      </c>
      <c r="E323" s="15"/>
      <c r="F323" s="15"/>
      <c r="G323" s="15"/>
      <c r="H323" s="15"/>
      <c r="I323" s="15"/>
      <c r="J323" s="15">
        <f t="shared" ref="J323:O323" si="66">J368</f>
        <v>94237330</v>
      </c>
      <c r="K323" s="15">
        <f t="shared" si="66"/>
        <v>94237330</v>
      </c>
      <c r="L323" s="15">
        <f t="shared" si="66"/>
        <v>0</v>
      </c>
      <c r="M323" s="15">
        <f t="shared" si="66"/>
        <v>0</v>
      </c>
      <c r="N323" s="15">
        <f t="shared" si="66"/>
        <v>0</v>
      </c>
      <c r="O323" s="15">
        <f t="shared" si="66"/>
        <v>94237330</v>
      </c>
      <c r="P323" s="14">
        <f t="shared" si="60"/>
        <v>94237330</v>
      </c>
    </row>
    <row r="324" spans="1:17" s="1" customFormat="1" x14ac:dyDescent="0.2">
      <c r="A324" s="100"/>
      <c r="B324" s="19"/>
      <c r="C324" s="3"/>
      <c r="D324" s="56" t="s">
        <v>519</v>
      </c>
      <c r="E324" s="15"/>
      <c r="F324" s="15"/>
      <c r="G324" s="15"/>
      <c r="H324" s="15"/>
      <c r="I324" s="15"/>
      <c r="J324" s="15">
        <f>K324+L324</f>
        <v>15200000</v>
      </c>
      <c r="K324" s="15">
        <f>K329+K333+K371</f>
        <v>15200000</v>
      </c>
      <c r="L324" s="15"/>
      <c r="M324" s="15"/>
      <c r="N324" s="15"/>
      <c r="O324" s="15">
        <f>K324</f>
        <v>15200000</v>
      </c>
      <c r="P324" s="14">
        <f t="shared" si="60"/>
        <v>15200000</v>
      </c>
    </row>
    <row r="325" spans="1:17" ht="15" customHeight="1" x14ac:dyDescent="0.2">
      <c r="A325" s="97"/>
      <c r="B325" s="103"/>
      <c r="C325" s="6"/>
      <c r="D325" s="21" t="s">
        <v>520</v>
      </c>
      <c r="E325" s="22">
        <f>F325+I325</f>
        <v>0</v>
      </c>
      <c r="F325" s="22"/>
      <c r="G325" s="22"/>
      <c r="H325" s="22"/>
      <c r="I325" s="22"/>
      <c r="J325" s="15">
        <f>L325+O325</f>
        <v>31436000</v>
      </c>
      <c r="K325" s="30">
        <f>SUM(K389)</f>
        <v>0</v>
      </c>
      <c r="L325" s="15"/>
      <c r="M325" s="15"/>
      <c r="N325" s="15"/>
      <c r="O325" s="30">
        <f>O389</f>
        <v>31436000</v>
      </c>
      <c r="P325" s="11">
        <f t="shared" si="60"/>
        <v>31436000</v>
      </c>
    </row>
    <row r="326" spans="1:17" ht="25.5" x14ac:dyDescent="0.2">
      <c r="A326" s="99" t="s">
        <v>380</v>
      </c>
      <c r="B326" s="17"/>
      <c r="C326" s="6"/>
      <c r="D326" s="13" t="s">
        <v>6</v>
      </c>
      <c r="E326" s="26">
        <f>E327+E349+E379+E390+E351+E345+E377</f>
        <v>191240391</v>
      </c>
      <c r="F326" s="26">
        <f>F327+F349+F379+F390+F351+F345+F377</f>
        <v>191240391</v>
      </c>
      <c r="G326" s="26">
        <f>G327+G349+G379+G390</f>
        <v>7282700</v>
      </c>
      <c r="H326" s="26">
        <f>H327+H349+H379+H390</f>
        <v>12298361</v>
      </c>
      <c r="I326" s="26">
        <f>I327+I349+I379</f>
        <v>0</v>
      </c>
      <c r="J326" s="26">
        <f>J327+J330+J337+J341+J344+J347+J349+J352+J353+J360+J361+J369+J372+J375+J379+J386+J387+J388+J346+J339+J334+J373+J335+J328</f>
        <v>372166160</v>
      </c>
      <c r="K326" s="26">
        <f>K327+K330+K337+K341+K344+K347+K349+K352+K353+K360+K361+K369+K372+K375+K379+K386+K387+K388+K346+K339+K334+K373+K335+K328</f>
        <v>340730160</v>
      </c>
      <c r="L326" s="26">
        <f>L327+L330+L337+L341+L344+L347+L349+L352+L353+L360+L361+L369+L372+L375+L379+L386+L387+L388+L346+L339+L334+L373</f>
        <v>0</v>
      </c>
      <c r="M326" s="26">
        <f>M327+M330+M337+M341+M344+M347+M349+M352+M353+M360+M361+M369+M372+M375+M379+M386+M387+M388+M346+M339+M334+M373</f>
        <v>0</v>
      </c>
      <c r="N326" s="26">
        <f>N327+N330+N337+N341+N344+N347+N349+N352+N353+N360+N361+N369+N372+N375+N379+N386+N387+N388+N346+N339+N334+N373</f>
        <v>0</v>
      </c>
      <c r="O326" s="26">
        <f>O327+O330+O337+O341+O344+O347+O349+O352+O353+O360+O361+O369+O372+O375+O379+O386+O387+O388+O346+O339+O334+O373+O335+O328</f>
        <v>372166160</v>
      </c>
      <c r="P326" s="11">
        <f t="shared" si="60"/>
        <v>563406551</v>
      </c>
      <c r="Q326" s="85"/>
    </row>
    <row r="327" spans="1:17" ht="25.5" x14ac:dyDescent="0.2">
      <c r="A327" s="99" t="s">
        <v>381</v>
      </c>
      <c r="B327" s="4" t="s">
        <v>235</v>
      </c>
      <c r="C327" s="4" t="s">
        <v>163</v>
      </c>
      <c r="D327" s="12" t="s">
        <v>642</v>
      </c>
      <c r="E327" s="9">
        <f t="shared" ref="E327:E384" si="67">F327+I327</f>
        <v>11151990</v>
      </c>
      <c r="F327" s="10">
        <f>11207200-55210</f>
        <v>11151990</v>
      </c>
      <c r="G327" s="10">
        <f>3002700+1700000+2580000</f>
        <v>7282700</v>
      </c>
      <c r="H327" s="10">
        <f>127000-55210</f>
        <v>71790</v>
      </c>
      <c r="I327" s="10"/>
      <c r="J327" s="9">
        <f t="shared" ref="J327:J378" si="68">L327+O327</f>
        <v>895000</v>
      </c>
      <c r="K327" s="10">
        <f>680000+65000+150000</f>
        <v>895000</v>
      </c>
      <c r="L327" s="10"/>
      <c r="M327" s="10"/>
      <c r="N327" s="10"/>
      <c r="O327" s="10">
        <f t="shared" ref="O327:O361" si="69">K327</f>
        <v>895000</v>
      </c>
      <c r="P327" s="11">
        <f t="shared" ref="P327:P391" si="70">E327+J327</f>
        <v>12046990</v>
      </c>
    </row>
    <row r="328" spans="1:17" x14ac:dyDescent="0.2">
      <c r="A328" s="99" t="s">
        <v>382</v>
      </c>
      <c r="B328" s="17" t="s">
        <v>106</v>
      </c>
      <c r="C328" s="17" t="s">
        <v>179</v>
      </c>
      <c r="D328" s="5" t="s">
        <v>237</v>
      </c>
      <c r="E328" s="9">
        <f t="shared" si="67"/>
        <v>0</v>
      </c>
      <c r="F328" s="10"/>
      <c r="G328" s="10"/>
      <c r="H328" s="10"/>
      <c r="I328" s="10"/>
      <c r="J328" s="9">
        <f t="shared" si="68"/>
        <v>4900000</v>
      </c>
      <c r="K328" s="10">
        <v>4900000</v>
      </c>
      <c r="L328" s="10"/>
      <c r="M328" s="10"/>
      <c r="N328" s="10"/>
      <c r="O328" s="10">
        <f t="shared" si="69"/>
        <v>4900000</v>
      </c>
      <c r="P328" s="11">
        <f t="shared" si="70"/>
        <v>4900000</v>
      </c>
    </row>
    <row r="329" spans="1:17" s="1" customFormat="1" x14ac:dyDescent="0.2">
      <c r="A329" s="100"/>
      <c r="B329" s="19"/>
      <c r="C329" s="19"/>
      <c r="D329" s="21" t="s">
        <v>519</v>
      </c>
      <c r="E329" s="8"/>
      <c r="F329" s="15"/>
      <c r="G329" s="15"/>
      <c r="H329" s="15"/>
      <c r="I329" s="15"/>
      <c r="J329" s="8">
        <f t="shared" si="68"/>
        <v>4900000</v>
      </c>
      <c r="K329" s="15">
        <v>4900000</v>
      </c>
      <c r="L329" s="15"/>
      <c r="M329" s="15"/>
      <c r="N329" s="15"/>
      <c r="O329" s="15">
        <f>K329</f>
        <v>4900000</v>
      </c>
      <c r="P329" s="14">
        <f t="shared" si="70"/>
        <v>4900000</v>
      </c>
    </row>
    <row r="330" spans="1:17" x14ac:dyDescent="0.2">
      <c r="A330" s="99" t="s">
        <v>671</v>
      </c>
      <c r="B330" s="17" t="s">
        <v>648</v>
      </c>
      <c r="C330" s="17" t="s">
        <v>180</v>
      </c>
      <c r="D330" s="18" t="s">
        <v>657</v>
      </c>
      <c r="E330" s="9">
        <f t="shared" si="67"/>
        <v>0</v>
      </c>
      <c r="F330" s="10"/>
      <c r="G330" s="10"/>
      <c r="H330" s="10"/>
      <c r="I330" s="10"/>
      <c r="J330" s="9">
        <f t="shared" si="68"/>
        <v>6096326</v>
      </c>
      <c r="K330" s="10">
        <f>409800+10442+65000-19116-369800+6000000</f>
        <v>6096326</v>
      </c>
      <c r="L330" s="10"/>
      <c r="M330" s="10"/>
      <c r="N330" s="10"/>
      <c r="O330" s="10">
        <f t="shared" si="69"/>
        <v>6096326</v>
      </c>
      <c r="P330" s="11">
        <f t="shared" si="70"/>
        <v>6096326</v>
      </c>
    </row>
    <row r="331" spans="1:17" ht="38.25" hidden="1" x14ac:dyDescent="0.2">
      <c r="A331" s="99"/>
      <c r="B331" s="17"/>
      <c r="C331" s="17"/>
      <c r="D331" s="16" t="s">
        <v>608</v>
      </c>
      <c r="E331" s="9"/>
      <c r="F331" s="10"/>
      <c r="G331" s="10"/>
      <c r="H331" s="10"/>
      <c r="I331" s="10"/>
      <c r="J331" s="9">
        <f t="shared" si="68"/>
        <v>0</v>
      </c>
      <c r="K331" s="10"/>
      <c r="L331" s="10"/>
      <c r="M331" s="10"/>
      <c r="N331" s="10"/>
      <c r="O331" s="10">
        <f t="shared" si="69"/>
        <v>0</v>
      </c>
      <c r="P331" s="11">
        <f t="shared" si="70"/>
        <v>0</v>
      </c>
    </row>
    <row r="332" spans="1:17" ht="25.5" hidden="1" x14ac:dyDescent="0.2">
      <c r="A332" s="99" t="s">
        <v>570</v>
      </c>
      <c r="B332" s="17" t="s">
        <v>164</v>
      </c>
      <c r="C332" s="17" t="s">
        <v>181</v>
      </c>
      <c r="D332" s="18" t="s">
        <v>617</v>
      </c>
      <c r="E332" s="9">
        <f t="shared" si="67"/>
        <v>0</v>
      </c>
      <c r="F332" s="10"/>
      <c r="G332" s="10"/>
      <c r="H332" s="10"/>
      <c r="I332" s="10"/>
      <c r="J332" s="9">
        <f t="shared" si="68"/>
        <v>0</v>
      </c>
      <c r="K332" s="10"/>
      <c r="L332" s="10"/>
      <c r="M332" s="10"/>
      <c r="N332" s="10"/>
      <c r="O332" s="10">
        <f t="shared" si="69"/>
        <v>0</v>
      </c>
      <c r="P332" s="11">
        <f t="shared" si="70"/>
        <v>0</v>
      </c>
    </row>
    <row r="333" spans="1:17" s="1" customFormat="1" x14ac:dyDescent="0.2">
      <c r="A333" s="100"/>
      <c r="B333" s="19"/>
      <c r="C333" s="19"/>
      <c r="D333" s="16" t="s">
        <v>519</v>
      </c>
      <c r="E333" s="8"/>
      <c r="F333" s="15"/>
      <c r="G333" s="15"/>
      <c r="H333" s="15"/>
      <c r="I333" s="15"/>
      <c r="J333" s="8">
        <f t="shared" si="68"/>
        <v>6000000</v>
      </c>
      <c r="K333" s="15">
        <v>6000000</v>
      </c>
      <c r="L333" s="15"/>
      <c r="M333" s="15"/>
      <c r="N333" s="15"/>
      <c r="O333" s="10">
        <f t="shared" si="69"/>
        <v>6000000</v>
      </c>
      <c r="P333" s="14">
        <f t="shared" si="70"/>
        <v>6000000</v>
      </c>
    </row>
    <row r="334" spans="1:17" ht="38.25" x14ac:dyDescent="0.2">
      <c r="A334" s="99" t="s">
        <v>22</v>
      </c>
      <c r="B334" s="17" t="s">
        <v>23</v>
      </c>
      <c r="C334" s="17" t="s">
        <v>182</v>
      </c>
      <c r="D334" s="5" t="s">
        <v>37</v>
      </c>
      <c r="E334" s="9">
        <f t="shared" si="67"/>
        <v>0</v>
      </c>
      <c r="F334" s="10"/>
      <c r="G334" s="10"/>
      <c r="H334" s="10"/>
      <c r="I334" s="10"/>
      <c r="J334" s="9">
        <f t="shared" si="68"/>
        <v>4286460</v>
      </c>
      <c r="K334" s="10">
        <f>3598681+687779</f>
        <v>4286460</v>
      </c>
      <c r="L334" s="10"/>
      <c r="M334" s="10"/>
      <c r="N334" s="10"/>
      <c r="O334" s="10">
        <f t="shared" si="69"/>
        <v>4286460</v>
      </c>
      <c r="P334" s="11">
        <f t="shared" si="70"/>
        <v>4286460</v>
      </c>
    </row>
    <row r="335" spans="1:17" ht="25.5" x14ac:dyDescent="0.2">
      <c r="A335" s="99" t="s">
        <v>688</v>
      </c>
      <c r="B335" s="17" t="s">
        <v>687</v>
      </c>
      <c r="C335" s="17" t="s">
        <v>182</v>
      </c>
      <c r="D335" s="5" t="s">
        <v>689</v>
      </c>
      <c r="E335" s="9"/>
      <c r="F335" s="10"/>
      <c r="G335" s="10"/>
      <c r="H335" s="10"/>
      <c r="I335" s="10"/>
      <c r="J335" s="9">
        <f>L335+O335</f>
        <v>10000000</v>
      </c>
      <c r="K335" s="10">
        <v>10000000</v>
      </c>
      <c r="L335" s="10"/>
      <c r="M335" s="10"/>
      <c r="N335" s="10"/>
      <c r="O335" s="10">
        <f>K335</f>
        <v>10000000</v>
      </c>
      <c r="P335" s="11">
        <f t="shared" si="70"/>
        <v>10000000</v>
      </c>
    </row>
    <row r="336" spans="1:17" s="1" customFormat="1" ht="25.5" x14ac:dyDescent="0.2">
      <c r="A336" s="100"/>
      <c r="B336" s="19"/>
      <c r="C336" s="19"/>
      <c r="D336" s="21" t="s">
        <v>690</v>
      </c>
      <c r="E336" s="8"/>
      <c r="F336" s="15"/>
      <c r="G336" s="15"/>
      <c r="H336" s="15"/>
      <c r="I336" s="15"/>
      <c r="J336" s="8">
        <f>L336+O336</f>
        <v>10000000</v>
      </c>
      <c r="K336" s="15">
        <v>10000000</v>
      </c>
      <c r="L336" s="15"/>
      <c r="M336" s="15"/>
      <c r="N336" s="15"/>
      <c r="O336" s="15">
        <f>K336</f>
        <v>10000000</v>
      </c>
      <c r="P336" s="14">
        <f t="shared" si="70"/>
        <v>10000000</v>
      </c>
    </row>
    <row r="337" spans="1:16" x14ac:dyDescent="0.2">
      <c r="A337" s="99" t="s">
        <v>401</v>
      </c>
      <c r="B337" s="4" t="s">
        <v>80</v>
      </c>
      <c r="C337" s="4" t="s">
        <v>53</v>
      </c>
      <c r="D337" s="5" t="s">
        <v>137</v>
      </c>
      <c r="E337" s="9">
        <f>F337+I337</f>
        <v>0</v>
      </c>
      <c r="F337" s="10"/>
      <c r="G337" s="10"/>
      <c r="H337" s="10"/>
      <c r="I337" s="10"/>
      <c r="J337" s="9">
        <f t="shared" si="68"/>
        <v>869948</v>
      </c>
      <c r="K337" s="10">
        <f>619948+250000</f>
        <v>869948</v>
      </c>
      <c r="L337" s="10"/>
      <c r="M337" s="10"/>
      <c r="N337" s="10"/>
      <c r="O337" s="10">
        <f t="shared" si="69"/>
        <v>869948</v>
      </c>
      <c r="P337" s="11">
        <f t="shared" si="70"/>
        <v>869948</v>
      </c>
    </row>
    <row r="338" spans="1:16" s="1" customFormat="1" hidden="1" x14ac:dyDescent="0.2">
      <c r="A338" s="100"/>
      <c r="B338" s="3"/>
      <c r="C338" s="3"/>
      <c r="D338" s="21" t="s">
        <v>519</v>
      </c>
      <c r="E338" s="8"/>
      <c r="F338" s="15"/>
      <c r="G338" s="15"/>
      <c r="H338" s="15"/>
      <c r="I338" s="15"/>
      <c r="J338" s="8">
        <f t="shared" si="68"/>
        <v>0</v>
      </c>
      <c r="K338" s="15"/>
      <c r="L338" s="15"/>
      <c r="M338" s="15"/>
      <c r="N338" s="15"/>
      <c r="O338" s="15">
        <f t="shared" si="69"/>
        <v>0</v>
      </c>
      <c r="P338" s="11">
        <f t="shared" si="70"/>
        <v>0</v>
      </c>
    </row>
    <row r="339" spans="1:16" x14ac:dyDescent="0.2">
      <c r="A339" s="99" t="s">
        <v>547</v>
      </c>
      <c r="B339" s="4" t="s">
        <v>245</v>
      </c>
      <c r="C339" s="4" t="s">
        <v>54</v>
      </c>
      <c r="D339" s="5" t="s">
        <v>139</v>
      </c>
      <c r="E339" s="9">
        <f t="shared" si="67"/>
        <v>0</v>
      </c>
      <c r="F339" s="10"/>
      <c r="G339" s="10"/>
      <c r="H339" s="10"/>
      <c r="I339" s="10"/>
      <c r="J339" s="9">
        <f t="shared" si="68"/>
        <v>890000</v>
      </c>
      <c r="K339" s="10">
        <f>290000+600000</f>
        <v>890000</v>
      </c>
      <c r="L339" s="10"/>
      <c r="M339" s="10"/>
      <c r="N339" s="10"/>
      <c r="O339" s="10">
        <f t="shared" si="69"/>
        <v>890000</v>
      </c>
      <c r="P339" s="11">
        <f t="shared" si="70"/>
        <v>890000</v>
      </c>
    </row>
    <row r="340" spans="1:16" hidden="1" x14ac:dyDescent="0.2">
      <c r="A340" s="99" t="s">
        <v>402</v>
      </c>
      <c r="B340" s="4" t="s">
        <v>253</v>
      </c>
      <c r="C340" s="4"/>
      <c r="D340" s="12" t="s">
        <v>465</v>
      </c>
      <c r="E340" s="9">
        <f t="shared" si="67"/>
        <v>0</v>
      </c>
      <c r="F340" s="10">
        <f>F341</f>
        <v>0</v>
      </c>
      <c r="G340" s="10">
        <f>G341</f>
        <v>0</v>
      </c>
      <c r="H340" s="10">
        <f>H341</f>
        <v>0</v>
      </c>
      <c r="I340" s="10">
        <f>I341</f>
        <v>0</v>
      </c>
      <c r="J340" s="9">
        <f t="shared" si="68"/>
        <v>0</v>
      </c>
      <c r="K340" s="10"/>
      <c r="L340" s="10">
        <f>L341</f>
        <v>0</v>
      </c>
      <c r="M340" s="10">
        <f>M341</f>
        <v>0</v>
      </c>
      <c r="N340" s="10">
        <f>N341</f>
        <v>0</v>
      </c>
      <c r="O340" s="10">
        <f t="shared" si="69"/>
        <v>0</v>
      </c>
      <c r="P340" s="11">
        <f t="shared" si="70"/>
        <v>0</v>
      </c>
    </row>
    <row r="341" spans="1:16" s="1" customFormat="1" ht="25.5" hidden="1" x14ac:dyDescent="0.2">
      <c r="A341" s="100" t="s">
        <v>403</v>
      </c>
      <c r="B341" s="3" t="s">
        <v>256</v>
      </c>
      <c r="C341" s="3" t="s">
        <v>491</v>
      </c>
      <c r="D341" s="13" t="s">
        <v>255</v>
      </c>
      <c r="E341" s="8">
        <f t="shared" si="67"/>
        <v>0</v>
      </c>
      <c r="F341" s="15"/>
      <c r="G341" s="15"/>
      <c r="H341" s="15"/>
      <c r="I341" s="15"/>
      <c r="J341" s="8">
        <f t="shared" si="68"/>
        <v>0</v>
      </c>
      <c r="K341" s="15"/>
      <c r="L341" s="15"/>
      <c r="M341" s="15"/>
      <c r="N341" s="15"/>
      <c r="O341" s="10">
        <f t="shared" si="69"/>
        <v>0</v>
      </c>
      <c r="P341" s="14">
        <f t="shared" si="70"/>
        <v>0</v>
      </c>
    </row>
    <row r="342" spans="1:16" ht="25.5" hidden="1" x14ac:dyDescent="0.2">
      <c r="A342" s="99" t="s">
        <v>567</v>
      </c>
      <c r="B342" s="4" t="s">
        <v>100</v>
      </c>
      <c r="C342" s="17" t="s">
        <v>113</v>
      </c>
      <c r="D342" s="18" t="s">
        <v>332</v>
      </c>
      <c r="E342" s="9">
        <f t="shared" si="67"/>
        <v>0</v>
      </c>
      <c r="F342" s="10"/>
      <c r="G342" s="10"/>
      <c r="H342" s="10"/>
      <c r="I342" s="10"/>
      <c r="J342" s="9">
        <f t="shared" si="68"/>
        <v>0</v>
      </c>
      <c r="K342" s="10"/>
      <c r="L342" s="10"/>
      <c r="M342" s="10"/>
      <c r="N342" s="10"/>
      <c r="O342" s="10">
        <f t="shared" si="69"/>
        <v>0</v>
      </c>
      <c r="P342" s="11">
        <f t="shared" si="70"/>
        <v>0</v>
      </c>
    </row>
    <row r="343" spans="1:16" ht="25.5" hidden="1" x14ac:dyDescent="0.2">
      <c r="A343" s="99" t="s">
        <v>597</v>
      </c>
      <c r="B343" s="4" t="s">
        <v>185</v>
      </c>
      <c r="C343" s="19" t="s">
        <v>52</v>
      </c>
      <c r="D343" s="5" t="s">
        <v>135</v>
      </c>
      <c r="E343" s="9"/>
      <c r="F343" s="10"/>
      <c r="G343" s="10"/>
      <c r="H343" s="10"/>
      <c r="I343" s="10"/>
      <c r="J343" s="9">
        <f>L343+O343</f>
        <v>0</v>
      </c>
      <c r="K343" s="10"/>
      <c r="L343" s="10"/>
      <c r="M343" s="10"/>
      <c r="N343" s="10"/>
      <c r="O343" s="10">
        <f>K343</f>
        <v>0</v>
      </c>
      <c r="P343" s="11">
        <f>E343+J343</f>
        <v>0</v>
      </c>
    </row>
    <row r="344" spans="1:16" ht="25.5" x14ac:dyDescent="0.2">
      <c r="A344" s="99" t="s">
        <v>623</v>
      </c>
      <c r="B344" s="4" t="s">
        <v>621</v>
      </c>
      <c r="C344" s="19" t="s">
        <v>52</v>
      </c>
      <c r="D344" s="5" t="s">
        <v>622</v>
      </c>
      <c r="E344" s="9"/>
      <c r="F344" s="10"/>
      <c r="G344" s="10"/>
      <c r="H344" s="10"/>
      <c r="I344" s="10"/>
      <c r="J344" s="9">
        <f>L344+O344</f>
        <v>5992867</v>
      </c>
      <c r="K344" s="10">
        <f>5989357+10000-6490</f>
        <v>5992867</v>
      </c>
      <c r="L344" s="10"/>
      <c r="M344" s="10"/>
      <c r="N344" s="10"/>
      <c r="O344" s="10">
        <f>K344</f>
        <v>5992867</v>
      </c>
      <c r="P344" s="11">
        <f>E344+J344</f>
        <v>5992867</v>
      </c>
    </row>
    <row r="345" spans="1:16" x14ac:dyDescent="0.2">
      <c r="A345" s="99" t="s">
        <v>21</v>
      </c>
      <c r="B345" s="4" t="s">
        <v>500</v>
      </c>
      <c r="C345" s="19" t="s">
        <v>116</v>
      </c>
      <c r="D345" s="5" t="s">
        <v>501</v>
      </c>
      <c r="E345" s="9">
        <f>F345</f>
        <v>1810000</v>
      </c>
      <c r="F345" s="10">
        <f>280000+1100000+430000</f>
        <v>1810000</v>
      </c>
      <c r="G345" s="10"/>
      <c r="H345" s="10"/>
      <c r="I345" s="10"/>
      <c r="J345" s="9"/>
      <c r="K345" s="10"/>
      <c r="L345" s="10"/>
      <c r="M345" s="10"/>
      <c r="N345" s="10"/>
      <c r="O345" s="10"/>
      <c r="P345" s="11">
        <f>E345+J345</f>
        <v>1810000</v>
      </c>
    </row>
    <row r="346" spans="1:16" x14ac:dyDescent="0.2">
      <c r="A346" s="99" t="s">
        <v>18</v>
      </c>
      <c r="B346" s="4" t="s">
        <v>347</v>
      </c>
      <c r="C346" s="19" t="s">
        <v>116</v>
      </c>
      <c r="D346" s="5" t="s">
        <v>349</v>
      </c>
      <c r="E346" s="9"/>
      <c r="F346" s="10"/>
      <c r="G346" s="10"/>
      <c r="H346" s="10"/>
      <c r="I346" s="10"/>
      <c r="J346" s="9">
        <f>L346+O346</f>
        <v>150000</v>
      </c>
      <c r="K346" s="10">
        <f>200000-50000</f>
        <v>150000</v>
      </c>
      <c r="L346" s="10"/>
      <c r="M346" s="10"/>
      <c r="N346" s="10"/>
      <c r="O346" s="10">
        <f>K346</f>
        <v>150000</v>
      </c>
      <c r="P346" s="11">
        <f>E346+J346</f>
        <v>150000</v>
      </c>
    </row>
    <row r="347" spans="1:16" ht="25.5" x14ac:dyDescent="0.2">
      <c r="A347" s="99" t="s">
        <v>10</v>
      </c>
      <c r="B347" s="4" t="s">
        <v>399</v>
      </c>
      <c r="C347" s="4" t="s">
        <v>116</v>
      </c>
      <c r="D347" s="18" t="s">
        <v>400</v>
      </c>
      <c r="E347" s="9">
        <f>F347+I347</f>
        <v>0</v>
      </c>
      <c r="F347" s="10"/>
      <c r="G347" s="10"/>
      <c r="H347" s="10"/>
      <c r="I347" s="10"/>
      <c r="J347" s="9">
        <f>L347+O347</f>
        <v>124500</v>
      </c>
      <c r="K347" s="10">
        <f>625000-500500</f>
        <v>124500</v>
      </c>
      <c r="L347" s="10"/>
      <c r="M347" s="10"/>
      <c r="N347" s="10"/>
      <c r="O347" s="10">
        <f>K347</f>
        <v>124500</v>
      </c>
      <c r="P347" s="11">
        <f>E347+J347</f>
        <v>124500</v>
      </c>
    </row>
    <row r="348" spans="1:16" hidden="1" x14ac:dyDescent="0.2">
      <c r="A348" s="99"/>
      <c r="B348" s="4"/>
      <c r="C348" s="19"/>
      <c r="D348" s="5"/>
      <c r="E348" s="9"/>
      <c r="F348" s="10"/>
      <c r="G348" s="10"/>
      <c r="H348" s="10"/>
      <c r="I348" s="10"/>
      <c r="J348" s="9"/>
      <c r="K348" s="10"/>
      <c r="L348" s="10"/>
      <c r="M348" s="10"/>
      <c r="N348" s="10"/>
      <c r="O348" s="10"/>
      <c r="P348" s="11"/>
    </row>
    <row r="349" spans="1:16" x14ac:dyDescent="0.2">
      <c r="A349" s="99" t="s">
        <v>404</v>
      </c>
      <c r="B349" s="17" t="s">
        <v>351</v>
      </c>
      <c r="C349" s="17" t="s">
        <v>116</v>
      </c>
      <c r="D349" s="18" t="s">
        <v>350</v>
      </c>
      <c r="E349" s="9">
        <f t="shared" si="67"/>
        <v>82545424</v>
      </c>
      <c r="F349" s="27">
        <f>74229974+20000+2800000+330000+218450+5000000-100000+47000</f>
        <v>82545424</v>
      </c>
      <c r="G349" s="27"/>
      <c r="H349" s="27">
        <f>9500000+2800000-73429</f>
        <v>12226571</v>
      </c>
      <c r="I349" s="27"/>
      <c r="J349" s="9">
        <f t="shared" si="68"/>
        <v>11087826</v>
      </c>
      <c r="K349" s="27">
        <f>10520526+150000-82700+500000</f>
        <v>11087826</v>
      </c>
      <c r="L349" s="27"/>
      <c r="M349" s="27"/>
      <c r="N349" s="27"/>
      <c r="O349" s="10">
        <f t="shared" si="69"/>
        <v>11087826</v>
      </c>
      <c r="P349" s="11">
        <f t="shared" si="70"/>
        <v>93633250</v>
      </c>
    </row>
    <row r="350" spans="1:16" ht="25.5" hidden="1" x14ac:dyDescent="0.2">
      <c r="A350" s="99"/>
      <c r="B350" s="17"/>
      <c r="C350" s="17"/>
      <c r="D350" s="16" t="s">
        <v>554</v>
      </c>
      <c r="E350" s="8">
        <f>F350</f>
        <v>0</v>
      </c>
      <c r="F350" s="86"/>
      <c r="G350" s="30"/>
      <c r="H350" s="30"/>
      <c r="I350" s="30"/>
      <c r="J350" s="58">
        <f>L350+O350</f>
        <v>0</v>
      </c>
      <c r="K350" s="30"/>
      <c r="L350" s="27"/>
      <c r="M350" s="27"/>
      <c r="N350" s="27"/>
      <c r="O350" s="27">
        <f>K350</f>
        <v>0</v>
      </c>
      <c r="P350" s="14">
        <f t="shared" si="70"/>
        <v>0</v>
      </c>
    </row>
    <row r="351" spans="1:16" x14ac:dyDescent="0.2">
      <c r="A351" s="99" t="s">
        <v>19</v>
      </c>
      <c r="B351" s="17" t="s">
        <v>355</v>
      </c>
      <c r="C351" s="17" t="s">
        <v>116</v>
      </c>
      <c r="D351" s="5" t="s">
        <v>20</v>
      </c>
      <c r="E351" s="9">
        <f t="shared" si="67"/>
        <v>675000</v>
      </c>
      <c r="F351" s="27">
        <f>300000+145000+230000</f>
        <v>675000</v>
      </c>
      <c r="G351" s="27"/>
      <c r="H351" s="27"/>
      <c r="I351" s="27"/>
      <c r="J351" s="9">
        <f t="shared" si="68"/>
        <v>0</v>
      </c>
      <c r="K351" s="27"/>
      <c r="L351" s="27"/>
      <c r="M351" s="27"/>
      <c r="N351" s="27"/>
      <c r="O351" s="10">
        <f>K351</f>
        <v>0</v>
      </c>
      <c r="P351" s="11">
        <f>E351+J351</f>
        <v>675000</v>
      </c>
    </row>
    <row r="352" spans="1:16" x14ac:dyDescent="0.2">
      <c r="A352" s="99" t="s">
        <v>606</v>
      </c>
      <c r="B352" s="67" t="s">
        <v>378</v>
      </c>
      <c r="C352" s="67" t="s">
        <v>208</v>
      </c>
      <c r="D352" s="5" t="s">
        <v>377</v>
      </c>
      <c r="E352" s="9">
        <f>F352+I352</f>
        <v>0</v>
      </c>
      <c r="F352" s="10"/>
      <c r="G352" s="10"/>
      <c r="H352" s="10"/>
      <c r="I352" s="10"/>
      <c r="J352" s="9">
        <f>L352+O352</f>
        <v>1055000</v>
      </c>
      <c r="K352" s="10">
        <f>500000+400000+155000</f>
        <v>1055000</v>
      </c>
      <c r="L352" s="10"/>
      <c r="M352" s="10"/>
      <c r="N352" s="10"/>
      <c r="O352" s="10">
        <f>K352</f>
        <v>1055000</v>
      </c>
      <c r="P352" s="11">
        <f>E352+J352</f>
        <v>1055000</v>
      </c>
    </row>
    <row r="353" spans="1:16" x14ac:dyDescent="0.2">
      <c r="A353" s="99" t="s">
        <v>408</v>
      </c>
      <c r="B353" s="4" t="s">
        <v>406</v>
      </c>
      <c r="C353" s="4" t="s">
        <v>407</v>
      </c>
      <c r="D353" s="12" t="s">
        <v>405</v>
      </c>
      <c r="E353" s="9">
        <f t="shared" si="67"/>
        <v>0</v>
      </c>
      <c r="F353" s="10"/>
      <c r="G353" s="10"/>
      <c r="H353" s="10"/>
      <c r="I353" s="10"/>
      <c r="J353" s="9">
        <f t="shared" si="68"/>
        <v>32850892</v>
      </c>
      <c r="K353" s="10">
        <f>35591061-970000+600000-1088599-233120-330000-500000-218450</f>
        <v>32850892</v>
      </c>
      <c r="L353" s="10"/>
      <c r="M353" s="10"/>
      <c r="N353" s="10"/>
      <c r="O353" s="10">
        <f t="shared" si="69"/>
        <v>32850892</v>
      </c>
      <c r="P353" s="11">
        <f t="shared" si="70"/>
        <v>32850892</v>
      </c>
    </row>
    <row r="354" spans="1:16" s="1" customFormat="1" ht="25.5" hidden="1" x14ac:dyDescent="0.2">
      <c r="A354" s="100"/>
      <c r="B354" s="3"/>
      <c r="C354" s="3"/>
      <c r="D354" s="16" t="s">
        <v>554</v>
      </c>
      <c r="E354" s="8"/>
      <c r="F354" s="15"/>
      <c r="G354" s="15"/>
      <c r="H354" s="15"/>
      <c r="I354" s="15"/>
      <c r="J354" s="8">
        <f>K354</f>
        <v>0</v>
      </c>
      <c r="K354" s="15"/>
      <c r="L354" s="15"/>
      <c r="M354" s="15"/>
      <c r="N354" s="15"/>
      <c r="O354" s="15">
        <f>K354</f>
        <v>0</v>
      </c>
      <c r="P354" s="14">
        <f t="shared" si="70"/>
        <v>0</v>
      </c>
    </row>
    <row r="355" spans="1:16" s="1" customFormat="1" ht="12.6" customHeight="1" x14ac:dyDescent="0.2">
      <c r="A355" s="100"/>
      <c r="B355" s="3"/>
      <c r="C355" s="3"/>
      <c r="D355" s="16" t="s">
        <v>519</v>
      </c>
      <c r="E355" s="8"/>
      <c r="F355" s="15"/>
      <c r="G355" s="15"/>
      <c r="H355" s="15"/>
      <c r="I355" s="15"/>
      <c r="J355" s="8">
        <f t="shared" si="68"/>
        <v>6700000</v>
      </c>
      <c r="K355" s="15">
        <f>6700000</f>
        <v>6700000</v>
      </c>
      <c r="L355" s="15"/>
      <c r="M355" s="15"/>
      <c r="N355" s="15"/>
      <c r="O355" s="15">
        <f>K355</f>
        <v>6700000</v>
      </c>
      <c r="P355" s="14">
        <f>E355+J355</f>
        <v>6700000</v>
      </c>
    </row>
    <row r="356" spans="1:16" hidden="1" x14ac:dyDescent="0.2">
      <c r="A356" s="99" t="s">
        <v>411</v>
      </c>
      <c r="B356" s="4" t="s">
        <v>410</v>
      </c>
      <c r="C356" s="4"/>
      <c r="D356" s="18" t="s">
        <v>409</v>
      </c>
      <c r="E356" s="9">
        <f t="shared" si="67"/>
        <v>0</v>
      </c>
      <c r="F356" s="10"/>
      <c r="G356" s="10"/>
      <c r="H356" s="10"/>
      <c r="I356" s="10"/>
      <c r="J356" s="9">
        <f t="shared" si="68"/>
        <v>0</v>
      </c>
      <c r="K356" s="10"/>
      <c r="L356" s="10">
        <f>SUM(L359:L361)</f>
        <v>0</v>
      </c>
      <c r="M356" s="10">
        <f>SUM(M359:M361)</f>
        <v>0</v>
      </c>
      <c r="N356" s="10">
        <f>SUM(N359:N361)</f>
        <v>0</v>
      </c>
      <c r="O356" s="10">
        <f>K356</f>
        <v>0</v>
      </c>
      <c r="P356" s="11">
        <f>E356+J356</f>
        <v>0</v>
      </c>
    </row>
    <row r="357" spans="1:16" s="1" customFormat="1" ht="51" hidden="1" x14ac:dyDescent="0.2">
      <c r="A357" s="100"/>
      <c r="B357" s="3"/>
      <c r="C357" s="3"/>
      <c r="D357" s="16" t="s">
        <v>607</v>
      </c>
      <c r="E357" s="8"/>
      <c r="F357" s="15"/>
      <c r="G357" s="15"/>
      <c r="H357" s="15"/>
      <c r="I357" s="15"/>
      <c r="J357" s="9">
        <f t="shared" si="68"/>
        <v>0</v>
      </c>
      <c r="K357" s="15"/>
      <c r="L357" s="15"/>
      <c r="M357" s="15"/>
      <c r="N357" s="15"/>
      <c r="O357" s="10">
        <f>K357</f>
        <v>0</v>
      </c>
      <c r="P357" s="11">
        <f>E357+J357</f>
        <v>0</v>
      </c>
    </row>
    <row r="358" spans="1:16" s="1" customFormat="1" hidden="1" x14ac:dyDescent="0.2">
      <c r="A358" s="100"/>
      <c r="B358" s="3"/>
      <c r="C358" s="3"/>
      <c r="D358" s="16" t="s">
        <v>519</v>
      </c>
      <c r="E358" s="8"/>
      <c r="F358" s="15"/>
      <c r="G358" s="15"/>
      <c r="H358" s="15"/>
      <c r="I358" s="15"/>
      <c r="J358" s="8">
        <f>K358+L358</f>
        <v>0</v>
      </c>
      <c r="K358" s="15"/>
      <c r="L358" s="15"/>
      <c r="M358" s="15"/>
      <c r="N358" s="15"/>
      <c r="O358" s="10">
        <f>K358</f>
        <v>0</v>
      </c>
      <c r="P358" s="11">
        <f>E358+J358</f>
        <v>0</v>
      </c>
    </row>
    <row r="359" spans="1:16" s="1" customFormat="1" hidden="1" x14ac:dyDescent="0.2">
      <c r="A359" s="100" t="s">
        <v>415</v>
      </c>
      <c r="B359" s="3" t="s">
        <v>412</v>
      </c>
      <c r="C359" s="3" t="s">
        <v>407</v>
      </c>
      <c r="D359" s="16" t="s">
        <v>418</v>
      </c>
      <c r="E359" s="9">
        <f t="shared" si="67"/>
        <v>0</v>
      </c>
      <c r="F359" s="15"/>
      <c r="G359" s="15"/>
      <c r="H359" s="15"/>
      <c r="I359" s="15"/>
      <c r="J359" s="9">
        <f t="shared" si="68"/>
        <v>0</v>
      </c>
      <c r="K359" s="15"/>
      <c r="L359" s="15"/>
      <c r="M359" s="15"/>
      <c r="N359" s="15"/>
      <c r="O359" s="10">
        <f t="shared" si="69"/>
        <v>0</v>
      </c>
      <c r="P359" s="11">
        <f t="shared" si="70"/>
        <v>0</v>
      </c>
    </row>
    <row r="360" spans="1:16" s="1" customFormat="1" x14ac:dyDescent="0.2">
      <c r="A360" s="100" t="s">
        <v>416</v>
      </c>
      <c r="B360" s="3" t="s">
        <v>413</v>
      </c>
      <c r="C360" s="3" t="s">
        <v>407</v>
      </c>
      <c r="D360" s="16" t="s">
        <v>419</v>
      </c>
      <c r="E360" s="9">
        <f t="shared" si="67"/>
        <v>0</v>
      </c>
      <c r="F360" s="15"/>
      <c r="G360" s="15"/>
      <c r="H360" s="15"/>
      <c r="I360" s="15"/>
      <c r="J360" s="9">
        <f t="shared" si="68"/>
        <v>28916</v>
      </c>
      <c r="K360" s="15">
        <f>70000-41084</f>
        <v>28916</v>
      </c>
      <c r="L360" s="15"/>
      <c r="M360" s="15"/>
      <c r="N360" s="15"/>
      <c r="O360" s="10">
        <f t="shared" si="69"/>
        <v>28916</v>
      </c>
      <c r="P360" s="11">
        <f t="shared" si="70"/>
        <v>28916</v>
      </c>
    </row>
    <row r="361" spans="1:16" s="1" customFormat="1" x14ac:dyDescent="0.2">
      <c r="A361" s="100" t="s">
        <v>417</v>
      </c>
      <c r="B361" s="3" t="s">
        <v>414</v>
      </c>
      <c r="C361" s="3" t="s">
        <v>407</v>
      </c>
      <c r="D361" s="16" t="s">
        <v>420</v>
      </c>
      <c r="E361" s="9">
        <f t="shared" si="67"/>
        <v>0</v>
      </c>
      <c r="F361" s="15"/>
      <c r="G361" s="15"/>
      <c r="H361" s="15"/>
      <c r="I361" s="15"/>
      <c r="J361" s="9">
        <f t="shared" si="68"/>
        <v>107544884</v>
      </c>
      <c r="K361" s="15">
        <f>35005000-13279370-10000000+80000000+14237330+1581924</f>
        <v>107544884</v>
      </c>
      <c r="L361" s="15"/>
      <c r="M361" s="15"/>
      <c r="N361" s="15"/>
      <c r="O361" s="10">
        <f t="shared" si="69"/>
        <v>107544884</v>
      </c>
      <c r="P361" s="11">
        <f t="shared" si="70"/>
        <v>107544884</v>
      </c>
    </row>
    <row r="362" spans="1:16" ht="25.5" hidden="1" x14ac:dyDescent="0.2">
      <c r="A362" s="99">
        <v>4713100</v>
      </c>
      <c r="B362" s="4" t="s">
        <v>197</v>
      </c>
      <c r="C362" s="4"/>
      <c r="D362" s="18" t="s">
        <v>64</v>
      </c>
      <c r="E362" s="9">
        <f>E363</f>
        <v>0</v>
      </c>
      <c r="F362" s="9">
        <f t="shared" ref="F362:O362" si="71">F363</f>
        <v>0</v>
      </c>
      <c r="G362" s="9">
        <f t="shared" si="71"/>
        <v>0</v>
      </c>
      <c r="H362" s="9">
        <f t="shared" si="71"/>
        <v>0</v>
      </c>
      <c r="I362" s="9">
        <f t="shared" si="71"/>
        <v>0</v>
      </c>
      <c r="J362" s="9">
        <f t="shared" si="68"/>
        <v>0</v>
      </c>
      <c r="K362" s="9"/>
      <c r="L362" s="9">
        <f t="shared" si="71"/>
        <v>0</v>
      </c>
      <c r="M362" s="9">
        <f t="shared" si="71"/>
        <v>0</v>
      </c>
      <c r="N362" s="9">
        <f t="shared" si="71"/>
        <v>0</v>
      </c>
      <c r="O362" s="9">
        <f t="shared" si="71"/>
        <v>0</v>
      </c>
      <c r="P362" s="11">
        <f t="shared" si="70"/>
        <v>0</v>
      </c>
    </row>
    <row r="363" spans="1:16" s="1" customFormat="1" hidden="1" x14ac:dyDescent="0.2">
      <c r="A363" s="100">
        <v>4713105</v>
      </c>
      <c r="B363" s="3" t="s">
        <v>99</v>
      </c>
      <c r="C363" s="3" t="s">
        <v>106</v>
      </c>
      <c r="D363" s="21" t="s">
        <v>152</v>
      </c>
      <c r="E363" s="8">
        <f>F363+I363</f>
        <v>0</v>
      </c>
      <c r="F363" s="30"/>
      <c r="G363" s="30"/>
      <c r="H363" s="30"/>
      <c r="I363" s="30"/>
      <c r="J363" s="9">
        <f t="shared" si="68"/>
        <v>0</v>
      </c>
      <c r="K363" s="15"/>
      <c r="L363" s="30"/>
      <c r="M363" s="30"/>
      <c r="N363" s="30"/>
      <c r="O363" s="15">
        <f>K363</f>
        <v>0</v>
      </c>
      <c r="P363" s="11">
        <f t="shared" si="70"/>
        <v>0</v>
      </c>
    </row>
    <row r="364" spans="1:16" hidden="1" x14ac:dyDescent="0.2">
      <c r="A364" s="99">
        <v>4715040</v>
      </c>
      <c r="B364" s="17" t="s">
        <v>186</v>
      </c>
      <c r="C364" s="17"/>
      <c r="D364" s="5" t="s">
        <v>187</v>
      </c>
      <c r="E364" s="9">
        <f>E365</f>
        <v>0</v>
      </c>
      <c r="F364" s="9">
        <f t="shared" ref="F364:O364" si="72">F365</f>
        <v>0</v>
      </c>
      <c r="G364" s="9">
        <f t="shared" si="72"/>
        <v>0</v>
      </c>
      <c r="H364" s="9">
        <f t="shared" si="72"/>
        <v>0</v>
      </c>
      <c r="I364" s="9">
        <f t="shared" si="72"/>
        <v>0</v>
      </c>
      <c r="J364" s="9">
        <f t="shared" si="68"/>
        <v>0</v>
      </c>
      <c r="K364" s="9"/>
      <c r="L364" s="9">
        <f t="shared" si="72"/>
        <v>0</v>
      </c>
      <c r="M364" s="9">
        <f t="shared" si="72"/>
        <v>0</v>
      </c>
      <c r="N364" s="9">
        <f t="shared" si="72"/>
        <v>0</v>
      </c>
      <c r="O364" s="9">
        <f t="shared" si="72"/>
        <v>0</v>
      </c>
      <c r="P364" s="11">
        <f t="shared" si="70"/>
        <v>0</v>
      </c>
    </row>
    <row r="365" spans="1:16" hidden="1" x14ac:dyDescent="0.2">
      <c r="A365" s="100">
        <v>4715041</v>
      </c>
      <c r="B365" s="19" t="s">
        <v>188</v>
      </c>
      <c r="C365" s="19" t="s">
        <v>52</v>
      </c>
      <c r="D365" s="21" t="s">
        <v>189</v>
      </c>
      <c r="E365" s="9">
        <f>F365+I365</f>
        <v>0</v>
      </c>
      <c r="F365" s="30"/>
      <c r="G365" s="30"/>
      <c r="H365" s="30"/>
      <c r="I365" s="30"/>
      <c r="J365" s="9">
        <f t="shared" si="68"/>
        <v>0</v>
      </c>
      <c r="K365" s="10"/>
      <c r="L365" s="30"/>
      <c r="M365" s="30"/>
      <c r="N365" s="30"/>
      <c r="O365" s="15">
        <f>K365</f>
        <v>0</v>
      </c>
      <c r="P365" s="11">
        <f t="shared" si="70"/>
        <v>0</v>
      </c>
    </row>
    <row r="366" spans="1:16" hidden="1" x14ac:dyDescent="0.2">
      <c r="A366" s="99">
        <v>4716050</v>
      </c>
      <c r="B366" s="4" t="s">
        <v>198</v>
      </c>
      <c r="C366" s="4"/>
      <c r="D366" s="41" t="s">
        <v>126</v>
      </c>
      <c r="E366" s="9">
        <f t="shared" si="67"/>
        <v>0</v>
      </c>
      <c r="F366" s="27"/>
      <c r="G366" s="27"/>
      <c r="H366" s="27"/>
      <c r="I366" s="27"/>
      <c r="J366" s="9">
        <f t="shared" si="68"/>
        <v>0</v>
      </c>
      <c r="K366" s="27"/>
      <c r="L366" s="27"/>
      <c r="M366" s="27"/>
      <c r="N366" s="27"/>
      <c r="O366" s="27">
        <f>O367</f>
        <v>0</v>
      </c>
      <c r="P366" s="11">
        <f t="shared" si="70"/>
        <v>0</v>
      </c>
    </row>
    <row r="367" spans="1:16" s="1" customFormat="1" hidden="1" x14ac:dyDescent="0.2">
      <c r="A367" s="100">
        <v>4716051</v>
      </c>
      <c r="B367" s="3" t="s">
        <v>102</v>
      </c>
      <c r="C367" s="3" t="s">
        <v>116</v>
      </c>
      <c r="D367" s="74" t="s">
        <v>127</v>
      </c>
      <c r="E367" s="9">
        <f t="shared" si="67"/>
        <v>0</v>
      </c>
      <c r="F367" s="30"/>
      <c r="G367" s="30"/>
      <c r="H367" s="30"/>
      <c r="I367" s="30"/>
      <c r="J367" s="9">
        <f t="shared" si="68"/>
        <v>0</v>
      </c>
      <c r="K367" s="30"/>
      <c r="L367" s="30"/>
      <c r="M367" s="30"/>
      <c r="N367" s="30"/>
      <c r="O367" s="15">
        <f t="shared" ref="O367:O376" si="73">K367</f>
        <v>0</v>
      </c>
      <c r="P367" s="11">
        <f t="shared" si="70"/>
        <v>0</v>
      </c>
    </row>
    <row r="368" spans="1:16" s="1" customFormat="1" ht="25.5" x14ac:dyDescent="0.2">
      <c r="A368" s="100"/>
      <c r="B368" s="3"/>
      <c r="C368" s="3"/>
      <c r="D368" s="56" t="s">
        <v>46</v>
      </c>
      <c r="E368" s="9"/>
      <c r="F368" s="30"/>
      <c r="G368" s="30"/>
      <c r="H368" s="30"/>
      <c r="I368" s="30"/>
      <c r="J368" s="8">
        <f t="shared" si="68"/>
        <v>94237330</v>
      </c>
      <c r="K368" s="30">
        <f>80000000+14237330</f>
        <v>94237330</v>
      </c>
      <c r="L368" s="30"/>
      <c r="M368" s="30"/>
      <c r="N368" s="30"/>
      <c r="O368" s="30">
        <f>K368</f>
        <v>94237330</v>
      </c>
      <c r="P368" s="11">
        <f t="shared" si="70"/>
        <v>94237330</v>
      </c>
    </row>
    <row r="369" spans="1:16" ht="15.75" customHeight="1" x14ac:dyDescent="0.2">
      <c r="A369" s="99" t="s">
        <v>513</v>
      </c>
      <c r="B369" s="4" t="s">
        <v>514</v>
      </c>
      <c r="C369" s="4" t="s">
        <v>407</v>
      </c>
      <c r="D369" s="18" t="s">
        <v>596</v>
      </c>
      <c r="E369" s="9">
        <f t="shared" si="67"/>
        <v>0</v>
      </c>
      <c r="F369" s="10"/>
      <c r="G369" s="10"/>
      <c r="H369" s="10"/>
      <c r="I369" s="10"/>
      <c r="J369" s="9">
        <f t="shared" si="68"/>
        <v>11958800</v>
      </c>
      <c r="K369" s="10">
        <f>8464390+550000+2950000-5590+4300000-4300000</f>
        <v>11958800</v>
      </c>
      <c r="L369" s="10"/>
      <c r="M369" s="10"/>
      <c r="N369" s="10"/>
      <c r="O369" s="10">
        <f>K369</f>
        <v>11958800</v>
      </c>
      <c r="P369" s="11">
        <f t="shared" si="70"/>
        <v>11958800</v>
      </c>
    </row>
    <row r="370" spans="1:16" ht="27.75" hidden="1" customHeight="1" x14ac:dyDescent="0.2">
      <c r="A370" s="99" t="s">
        <v>527</v>
      </c>
      <c r="B370" s="4" t="s">
        <v>528</v>
      </c>
      <c r="C370" s="4"/>
      <c r="D370" s="18" t="s">
        <v>529</v>
      </c>
      <c r="E370" s="9">
        <f t="shared" si="67"/>
        <v>0</v>
      </c>
      <c r="F370" s="10"/>
      <c r="G370" s="10"/>
      <c r="H370" s="10"/>
      <c r="I370" s="10"/>
      <c r="J370" s="9">
        <f t="shared" si="68"/>
        <v>0</v>
      </c>
      <c r="K370" s="10"/>
      <c r="L370" s="10"/>
      <c r="M370" s="10"/>
      <c r="N370" s="10"/>
      <c r="O370" s="10">
        <f t="shared" si="73"/>
        <v>0</v>
      </c>
      <c r="P370" s="11">
        <f t="shared" si="70"/>
        <v>0</v>
      </c>
    </row>
    <row r="371" spans="1:16" s="1" customFormat="1" x14ac:dyDescent="0.2">
      <c r="A371" s="100"/>
      <c r="B371" s="3"/>
      <c r="C371" s="3"/>
      <c r="D371" s="16" t="s">
        <v>519</v>
      </c>
      <c r="E371" s="8"/>
      <c r="F371" s="15"/>
      <c r="G371" s="15"/>
      <c r="H371" s="15"/>
      <c r="I371" s="15"/>
      <c r="J371" s="8">
        <f>K371+L371</f>
        <v>4300000</v>
      </c>
      <c r="K371" s="15">
        <v>4300000</v>
      </c>
      <c r="L371" s="15"/>
      <c r="M371" s="15"/>
      <c r="N371" s="15"/>
      <c r="O371" s="15">
        <f>K371</f>
        <v>4300000</v>
      </c>
      <c r="P371" s="14">
        <f t="shared" si="70"/>
        <v>4300000</v>
      </c>
    </row>
    <row r="372" spans="1:16" s="1" customFormat="1" ht="25.5" x14ac:dyDescent="0.2">
      <c r="A372" s="100" t="s">
        <v>530</v>
      </c>
      <c r="B372" s="3" t="s">
        <v>531</v>
      </c>
      <c r="C372" s="3" t="s">
        <v>169</v>
      </c>
      <c r="D372" s="16" t="s">
        <v>532</v>
      </c>
      <c r="E372" s="8">
        <f t="shared" si="67"/>
        <v>0</v>
      </c>
      <c r="F372" s="15"/>
      <c r="G372" s="15"/>
      <c r="H372" s="15"/>
      <c r="I372" s="15"/>
      <c r="J372" s="8">
        <f t="shared" si="68"/>
        <v>4492976</v>
      </c>
      <c r="K372" s="15">
        <f>2500000+992976+1000000</f>
        <v>4492976</v>
      </c>
      <c r="L372" s="15"/>
      <c r="M372" s="15"/>
      <c r="N372" s="15"/>
      <c r="O372" s="15">
        <f t="shared" si="73"/>
        <v>4492976</v>
      </c>
      <c r="P372" s="14">
        <f t="shared" si="70"/>
        <v>4492976</v>
      </c>
    </row>
    <row r="373" spans="1:16" ht="25.5" x14ac:dyDescent="0.2">
      <c r="A373" s="99" t="s">
        <v>555</v>
      </c>
      <c r="B373" s="4" t="s">
        <v>552</v>
      </c>
      <c r="C373" s="4" t="s">
        <v>169</v>
      </c>
      <c r="D373" s="18" t="s">
        <v>553</v>
      </c>
      <c r="E373" s="9">
        <f t="shared" si="67"/>
        <v>0</v>
      </c>
      <c r="F373" s="10"/>
      <c r="G373" s="10"/>
      <c r="H373" s="10"/>
      <c r="I373" s="10"/>
      <c r="J373" s="9">
        <f t="shared" si="68"/>
        <v>19588599</v>
      </c>
      <c r="K373" s="10">
        <f>10000000+1088599+8500000</f>
        <v>19588599</v>
      </c>
      <c r="L373" s="10"/>
      <c r="M373" s="10"/>
      <c r="N373" s="10"/>
      <c r="O373" s="10">
        <f t="shared" si="73"/>
        <v>19588599</v>
      </c>
      <c r="P373" s="11">
        <f t="shared" si="70"/>
        <v>19588599</v>
      </c>
    </row>
    <row r="374" spans="1:16" s="1" customFormat="1" ht="25.5" x14ac:dyDescent="0.2">
      <c r="A374" s="100"/>
      <c r="B374" s="3"/>
      <c r="C374" s="3"/>
      <c r="D374" s="16" t="s">
        <v>554</v>
      </c>
      <c r="E374" s="8">
        <f t="shared" si="67"/>
        <v>0</v>
      </c>
      <c r="F374" s="15"/>
      <c r="G374" s="15"/>
      <c r="H374" s="15"/>
      <c r="I374" s="15"/>
      <c r="J374" s="8">
        <f t="shared" si="68"/>
        <v>19588599</v>
      </c>
      <c r="K374" s="15">
        <f>10000000+1088599+8500000</f>
        <v>19588599</v>
      </c>
      <c r="L374" s="15"/>
      <c r="M374" s="15"/>
      <c r="N374" s="15"/>
      <c r="O374" s="15">
        <f t="shared" si="73"/>
        <v>19588599</v>
      </c>
      <c r="P374" s="14">
        <f t="shared" si="70"/>
        <v>19588599</v>
      </c>
    </row>
    <row r="375" spans="1:16" s="1" customFormat="1" ht="25.5" x14ac:dyDescent="0.2">
      <c r="A375" s="100" t="s">
        <v>544</v>
      </c>
      <c r="B375" s="3" t="s">
        <v>542</v>
      </c>
      <c r="C375" s="3" t="s">
        <v>169</v>
      </c>
      <c r="D375" s="32" t="s">
        <v>545</v>
      </c>
      <c r="E375" s="8">
        <f t="shared" si="67"/>
        <v>0</v>
      </c>
      <c r="F375" s="15"/>
      <c r="G375" s="15"/>
      <c r="H375" s="15"/>
      <c r="I375" s="15"/>
      <c r="J375" s="8">
        <f t="shared" si="68"/>
        <v>94017142</v>
      </c>
      <c r="K375" s="15">
        <f>90004042+1641600-2441600-500000+10000000-3929900-475000-155000-80000-47000</f>
        <v>94017142</v>
      </c>
      <c r="L375" s="15"/>
      <c r="M375" s="15"/>
      <c r="N375" s="15"/>
      <c r="O375" s="15">
        <f t="shared" si="73"/>
        <v>94017142</v>
      </c>
      <c r="P375" s="14">
        <f t="shared" si="70"/>
        <v>94017142</v>
      </c>
    </row>
    <row r="376" spans="1:16" s="1" customFormat="1" ht="25.5" x14ac:dyDescent="0.2">
      <c r="A376" s="100"/>
      <c r="B376" s="3"/>
      <c r="C376" s="3"/>
      <c r="D376" s="32" t="s">
        <v>546</v>
      </c>
      <c r="E376" s="8"/>
      <c r="F376" s="15"/>
      <c r="G376" s="15"/>
      <c r="H376" s="15"/>
      <c r="I376" s="15"/>
      <c r="J376" s="8">
        <f t="shared" si="68"/>
        <v>54885444</v>
      </c>
      <c r="K376" s="15">
        <f>44885444+10000000</f>
        <v>54885444</v>
      </c>
      <c r="L376" s="15"/>
      <c r="M376" s="15"/>
      <c r="N376" s="15"/>
      <c r="O376" s="15">
        <f t="shared" si="73"/>
        <v>54885444</v>
      </c>
      <c r="P376" s="14">
        <f t="shared" si="70"/>
        <v>54885444</v>
      </c>
    </row>
    <row r="377" spans="1:16" x14ac:dyDescent="0.2">
      <c r="A377" s="99" t="s">
        <v>694</v>
      </c>
      <c r="B377" s="17" t="s">
        <v>695</v>
      </c>
      <c r="C377" s="4" t="s">
        <v>27</v>
      </c>
      <c r="D377" s="63" t="s">
        <v>696</v>
      </c>
      <c r="E377" s="9">
        <f t="shared" si="67"/>
        <v>100000</v>
      </c>
      <c r="F377" s="10">
        <f>500000-400000</f>
        <v>100000</v>
      </c>
      <c r="G377" s="10"/>
      <c r="H377" s="10"/>
      <c r="I377" s="10"/>
      <c r="J377" s="8">
        <f t="shared" si="68"/>
        <v>0</v>
      </c>
      <c r="K377" s="10"/>
      <c r="L377" s="10"/>
      <c r="M377" s="10"/>
      <c r="N377" s="10"/>
      <c r="O377" s="10">
        <f>K377</f>
        <v>0</v>
      </c>
      <c r="P377" s="11">
        <f t="shared" si="70"/>
        <v>100000</v>
      </c>
    </row>
    <row r="378" spans="1:16" s="1" customFormat="1" ht="51" hidden="1" x14ac:dyDescent="0.2">
      <c r="A378" s="100"/>
      <c r="B378" s="19"/>
      <c r="C378" s="3"/>
      <c r="D378" s="32" t="s">
        <v>628</v>
      </c>
      <c r="E378" s="8"/>
      <c r="F378" s="15"/>
      <c r="G378" s="15"/>
      <c r="H378" s="15"/>
      <c r="I378" s="15"/>
      <c r="J378" s="8">
        <f t="shared" si="68"/>
        <v>0</v>
      </c>
      <c r="K378" s="15"/>
      <c r="L378" s="15"/>
      <c r="M378" s="15"/>
      <c r="N378" s="15"/>
      <c r="O378" s="15"/>
      <c r="P378" s="11">
        <f t="shared" si="70"/>
        <v>0</v>
      </c>
    </row>
    <row r="379" spans="1:16" s="1" customFormat="1" ht="25.5" x14ac:dyDescent="0.2">
      <c r="A379" s="100" t="s">
        <v>588</v>
      </c>
      <c r="B379" s="19" t="s">
        <v>367</v>
      </c>
      <c r="C379" s="3" t="s">
        <v>117</v>
      </c>
      <c r="D379" s="16" t="s">
        <v>366</v>
      </c>
      <c r="E379" s="8">
        <f t="shared" si="67"/>
        <v>93937977</v>
      </c>
      <c r="F379" s="15">
        <f>78837977+100000+15000000</f>
        <v>93937977</v>
      </c>
      <c r="G379" s="15"/>
      <c r="H379" s="15"/>
      <c r="I379" s="15"/>
      <c r="J379" s="9">
        <f t="shared" ref="J379:J385" si="74">L379+O379</f>
        <v>18747134</v>
      </c>
      <c r="K379" s="15">
        <f>16622139-2169600-29884+322679+10000000-5398200-600000</f>
        <v>18747134</v>
      </c>
      <c r="L379" s="15"/>
      <c r="M379" s="15"/>
      <c r="N379" s="15"/>
      <c r="O379" s="15">
        <f>K379</f>
        <v>18747134</v>
      </c>
      <c r="P379" s="14">
        <f t="shared" si="70"/>
        <v>112685111</v>
      </c>
    </row>
    <row r="380" spans="1:16" s="1" customFormat="1" ht="25.5" hidden="1" x14ac:dyDescent="0.2">
      <c r="A380" s="100"/>
      <c r="B380" s="3"/>
      <c r="C380" s="3"/>
      <c r="D380" s="32" t="s">
        <v>546</v>
      </c>
      <c r="E380" s="8">
        <f t="shared" si="67"/>
        <v>0</v>
      </c>
      <c r="F380" s="15"/>
      <c r="G380" s="15"/>
      <c r="H380" s="15"/>
      <c r="I380" s="15"/>
      <c r="J380" s="9">
        <f t="shared" si="74"/>
        <v>0</v>
      </c>
      <c r="K380" s="15"/>
      <c r="L380" s="15"/>
      <c r="M380" s="15"/>
      <c r="N380" s="15"/>
      <c r="O380" s="15">
        <f>K380</f>
        <v>0</v>
      </c>
      <c r="P380" s="14">
        <f t="shared" si="70"/>
        <v>0</v>
      </c>
    </row>
    <row r="381" spans="1:16" hidden="1" x14ac:dyDescent="0.2">
      <c r="A381" s="99" t="s">
        <v>595</v>
      </c>
      <c r="B381" s="3" t="s">
        <v>232</v>
      </c>
      <c r="C381" s="3" t="s">
        <v>169</v>
      </c>
      <c r="D381" s="60" t="s">
        <v>233</v>
      </c>
      <c r="E381" s="8">
        <f t="shared" si="67"/>
        <v>0</v>
      </c>
      <c r="F381" s="10"/>
      <c r="G381" s="10"/>
      <c r="H381" s="10"/>
      <c r="I381" s="10"/>
      <c r="J381" s="9">
        <f t="shared" si="74"/>
        <v>0</v>
      </c>
      <c r="K381" s="10"/>
      <c r="L381" s="10"/>
      <c r="M381" s="10"/>
      <c r="N381" s="10"/>
      <c r="O381" s="15">
        <f>K381</f>
        <v>0</v>
      </c>
      <c r="P381" s="14">
        <f t="shared" si="70"/>
        <v>0</v>
      </c>
    </row>
    <row r="382" spans="1:16" hidden="1" x14ac:dyDescent="0.2">
      <c r="A382" s="99" t="s">
        <v>612</v>
      </c>
      <c r="B382" s="17" t="s">
        <v>507</v>
      </c>
      <c r="C382" s="17" t="s">
        <v>171</v>
      </c>
      <c r="D382" s="21" t="s">
        <v>175</v>
      </c>
      <c r="E382" s="8">
        <f t="shared" si="67"/>
        <v>0</v>
      </c>
      <c r="F382" s="27"/>
      <c r="G382" s="27"/>
      <c r="H382" s="27"/>
      <c r="I382" s="27"/>
      <c r="J382" s="9">
        <f t="shared" si="74"/>
        <v>0</v>
      </c>
      <c r="K382" s="27"/>
      <c r="L382" s="27"/>
      <c r="M382" s="27"/>
      <c r="N382" s="27"/>
      <c r="O382" s="10"/>
      <c r="P382" s="11">
        <f t="shared" si="70"/>
        <v>0</v>
      </c>
    </row>
    <row r="383" spans="1:16" ht="15" hidden="1" customHeight="1" x14ac:dyDescent="0.2">
      <c r="A383" s="99"/>
      <c r="B383" s="17"/>
      <c r="C383" s="17"/>
      <c r="D383" s="21" t="s">
        <v>520</v>
      </c>
      <c r="E383" s="8">
        <f>F383+I383</f>
        <v>0</v>
      </c>
      <c r="F383" s="30"/>
      <c r="G383" s="30"/>
      <c r="H383" s="30"/>
      <c r="I383" s="30"/>
      <c r="J383" s="8">
        <f>L383+O383</f>
        <v>0</v>
      </c>
      <c r="K383" s="30"/>
      <c r="L383" s="30"/>
      <c r="M383" s="30"/>
      <c r="N383" s="30"/>
      <c r="O383" s="30"/>
      <c r="P383" s="14">
        <f>E383+J383</f>
        <v>0</v>
      </c>
    </row>
    <row r="384" spans="1:16" s="1" customFormat="1" ht="25.5" hidden="1" x14ac:dyDescent="0.2">
      <c r="A384" s="100" t="s">
        <v>610</v>
      </c>
      <c r="B384" s="19" t="s">
        <v>611</v>
      </c>
      <c r="C384" s="19" t="s">
        <v>398</v>
      </c>
      <c r="D384" s="18" t="s">
        <v>613</v>
      </c>
      <c r="E384" s="8">
        <f t="shared" si="67"/>
        <v>0</v>
      </c>
      <c r="F384" s="30"/>
      <c r="G384" s="30"/>
      <c r="H384" s="30"/>
      <c r="I384" s="30"/>
      <c r="J384" s="8">
        <f t="shared" si="74"/>
        <v>0</v>
      </c>
      <c r="K384" s="30"/>
      <c r="L384" s="30"/>
      <c r="M384" s="30"/>
      <c r="N384" s="30"/>
      <c r="O384" s="30"/>
      <c r="P384" s="14">
        <f t="shared" si="70"/>
        <v>0</v>
      </c>
    </row>
    <row r="385" spans="1:18" s="1" customFormat="1" ht="25.5" hidden="1" x14ac:dyDescent="0.2">
      <c r="A385" s="100"/>
      <c r="B385" s="19"/>
      <c r="C385" s="19"/>
      <c r="D385" s="21" t="s">
        <v>609</v>
      </c>
      <c r="E385" s="8"/>
      <c r="F385" s="30"/>
      <c r="G385" s="30"/>
      <c r="H385" s="30"/>
      <c r="I385" s="30"/>
      <c r="J385" s="8">
        <f t="shared" si="74"/>
        <v>0</v>
      </c>
      <c r="K385" s="30"/>
      <c r="L385" s="30"/>
      <c r="M385" s="30"/>
      <c r="N385" s="30"/>
      <c r="O385" s="30">
        <f>O384</f>
        <v>0</v>
      </c>
      <c r="P385" s="14">
        <f t="shared" si="70"/>
        <v>0</v>
      </c>
    </row>
    <row r="386" spans="1:18" x14ac:dyDescent="0.2">
      <c r="A386" s="99" t="s">
        <v>11</v>
      </c>
      <c r="B386" s="17" t="s">
        <v>224</v>
      </c>
      <c r="C386" s="4" t="s">
        <v>170</v>
      </c>
      <c r="D386" s="41" t="s">
        <v>125</v>
      </c>
      <c r="E386" s="9"/>
      <c r="F386" s="27"/>
      <c r="G386" s="27"/>
      <c r="H386" s="27"/>
      <c r="I386" s="27"/>
      <c r="J386" s="9">
        <f>L386+O386</f>
        <v>333390</v>
      </c>
      <c r="K386" s="27">
        <f>183390+150000</f>
        <v>333390</v>
      </c>
      <c r="L386" s="27"/>
      <c r="M386" s="27"/>
      <c r="N386" s="27"/>
      <c r="O386" s="10">
        <f>K386</f>
        <v>333390</v>
      </c>
      <c r="P386" s="11">
        <f>E386+J386</f>
        <v>333390</v>
      </c>
    </row>
    <row r="387" spans="1:18" x14ac:dyDescent="0.2">
      <c r="A387" s="99" t="s">
        <v>12</v>
      </c>
      <c r="B387" s="4" t="s">
        <v>223</v>
      </c>
      <c r="C387" s="4" t="s">
        <v>169</v>
      </c>
      <c r="D387" s="59" t="s">
        <v>375</v>
      </c>
      <c r="E387" s="9">
        <f>F387+I387</f>
        <v>0</v>
      </c>
      <c r="F387" s="9"/>
      <c r="G387" s="9"/>
      <c r="H387" s="9"/>
      <c r="I387" s="9"/>
      <c r="J387" s="9">
        <f>L387+O387</f>
        <v>4819500</v>
      </c>
      <c r="K387" s="9">
        <f>1839500+5000+600000+135000+1195000+570000+475000</f>
        <v>4819500</v>
      </c>
      <c r="L387" s="9"/>
      <c r="M387" s="9"/>
      <c r="N387" s="9"/>
      <c r="O387" s="10">
        <f>K387</f>
        <v>4819500</v>
      </c>
      <c r="P387" s="11">
        <f>E387+J387</f>
        <v>4819500</v>
      </c>
    </row>
    <row r="388" spans="1:18" s="1" customFormat="1" x14ac:dyDescent="0.2">
      <c r="A388" s="100" t="s">
        <v>612</v>
      </c>
      <c r="B388" s="19" t="s">
        <v>507</v>
      </c>
      <c r="C388" s="4" t="s">
        <v>171</v>
      </c>
      <c r="D388" s="12" t="s">
        <v>175</v>
      </c>
      <c r="E388" s="9"/>
      <c r="F388" s="30"/>
      <c r="G388" s="30"/>
      <c r="H388" s="30"/>
      <c r="I388" s="30"/>
      <c r="J388" s="9">
        <f>L388+O388</f>
        <v>31436000</v>
      </c>
      <c r="K388" s="30"/>
      <c r="L388" s="30"/>
      <c r="M388" s="30"/>
      <c r="N388" s="30"/>
      <c r="O388" s="30">
        <f>O389</f>
        <v>31436000</v>
      </c>
      <c r="P388" s="11">
        <f>E388+J388</f>
        <v>31436000</v>
      </c>
    </row>
    <row r="389" spans="1:18" s="1" customFormat="1" ht="13.5" customHeight="1" x14ac:dyDescent="0.2">
      <c r="A389" s="100"/>
      <c r="B389" s="19"/>
      <c r="C389" s="3"/>
      <c r="D389" s="21" t="s">
        <v>520</v>
      </c>
      <c r="E389" s="9"/>
      <c r="F389" s="30"/>
      <c r="G389" s="30"/>
      <c r="H389" s="30"/>
      <c r="I389" s="30"/>
      <c r="J389" s="9">
        <f>L389+O389</f>
        <v>31436000</v>
      </c>
      <c r="K389" s="30"/>
      <c r="L389" s="30"/>
      <c r="M389" s="30"/>
      <c r="N389" s="30"/>
      <c r="O389" s="30">
        <v>31436000</v>
      </c>
      <c r="P389" s="11">
        <f>E389+J389</f>
        <v>31436000</v>
      </c>
    </row>
    <row r="390" spans="1:18" s="1" customFormat="1" ht="25.5" x14ac:dyDescent="0.2">
      <c r="A390" s="100" t="s">
        <v>50</v>
      </c>
      <c r="B390" s="19" t="s">
        <v>49</v>
      </c>
      <c r="C390" s="19" t="s">
        <v>116</v>
      </c>
      <c r="D390" s="21" t="s">
        <v>48</v>
      </c>
      <c r="E390" s="9">
        <f>F390+I390</f>
        <v>1020000</v>
      </c>
      <c r="F390" s="30">
        <f>260000+570000+190000</f>
        <v>1020000</v>
      </c>
      <c r="G390" s="30"/>
      <c r="H390" s="30"/>
      <c r="I390" s="30"/>
      <c r="J390" s="9">
        <f>L390+O390</f>
        <v>0</v>
      </c>
      <c r="K390" s="30"/>
      <c r="L390" s="30"/>
      <c r="M390" s="30"/>
      <c r="N390" s="30"/>
      <c r="O390" s="30"/>
      <c r="P390" s="11">
        <f>E390+J390</f>
        <v>1020000</v>
      </c>
    </row>
    <row r="391" spans="1:18" ht="15.75" customHeight="1" x14ac:dyDescent="0.2">
      <c r="A391" s="97">
        <v>3100000</v>
      </c>
      <c r="B391" s="103"/>
      <c r="C391" s="6"/>
      <c r="D391" s="28" t="s">
        <v>118</v>
      </c>
      <c r="E391" s="22">
        <f>E393</f>
        <v>5094600</v>
      </c>
      <c r="F391" s="22">
        <f t="shared" ref="F391:O391" si="75">F393</f>
        <v>5094600</v>
      </c>
      <c r="G391" s="22">
        <f t="shared" si="75"/>
        <v>1400000</v>
      </c>
      <c r="H391" s="22">
        <f t="shared" si="75"/>
        <v>0</v>
      </c>
      <c r="I391" s="22">
        <f t="shared" si="75"/>
        <v>0</v>
      </c>
      <c r="J391" s="22">
        <f t="shared" si="75"/>
        <v>3227000</v>
      </c>
      <c r="K391" s="22">
        <f>K393</f>
        <v>3227000</v>
      </c>
      <c r="L391" s="22">
        <f t="shared" si="75"/>
        <v>0</v>
      </c>
      <c r="M391" s="22">
        <f t="shared" si="75"/>
        <v>0</v>
      </c>
      <c r="N391" s="22">
        <f t="shared" si="75"/>
        <v>0</v>
      </c>
      <c r="O391" s="22">
        <f t="shared" si="75"/>
        <v>3227000</v>
      </c>
      <c r="P391" s="11">
        <f t="shared" si="70"/>
        <v>8321600</v>
      </c>
      <c r="R391" s="31"/>
    </row>
    <row r="392" spans="1:18" s="1" customFormat="1" hidden="1" x14ac:dyDescent="0.2">
      <c r="A392" s="100"/>
      <c r="B392" s="19"/>
      <c r="C392" s="3"/>
      <c r="D392" s="13" t="s">
        <v>519</v>
      </c>
      <c r="E392" s="15"/>
      <c r="F392" s="15"/>
      <c r="G392" s="15"/>
      <c r="H392" s="15"/>
      <c r="I392" s="15"/>
      <c r="J392" s="15">
        <f>J398</f>
        <v>0</v>
      </c>
      <c r="K392" s="15">
        <f>K398</f>
        <v>0</v>
      </c>
      <c r="L392" s="15"/>
      <c r="M392" s="15"/>
      <c r="N392" s="15"/>
      <c r="O392" s="22">
        <f>K392</f>
        <v>0</v>
      </c>
      <c r="P392" s="11">
        <f>E392+J392</f>
        <v>0</v>
      </c>
    </row>
    <row r="393" spans="1:18" x14ac:dyDescent="0.2">
      <c r="A393" s="99" t="s">
        <v>383</v>
      </c>
      <c r="B393" s="17"/>
      <c r="C393" s="6"/>
      <c r="D393" s="13" t="s">
        <v>118</v>
      </c>
      <c r="E393" s="22">
        <f>E394+E396+E399+E404</f>
        <v>5094600</v>
      </c>
      <c r="F393" s="22">
        <f>F394+F396+F399+F404+F406</f>
        <v>5094600</v>
      </c>
      <c r="G393" s="22">
        <f>G394+G396+G399+G404</f>
        <v>1400000</v>
      </c>
      <c r="H393" s="22">
        <f>H394+H396+H399+H404</f>
        <v>0</v>
      </c>
      <c r="I393" s="22">
        <f>I394+I396+I399+I404</f>
        <v>0</v>
      </c>
      <c r="J393" s="22">
        <f>J394+J396+J399+J404+J400+J403+J405+J395</f>
        <v>3227000</v>
      </c>
      <c r="K393" s="22">
        <f>K394+K396+K399+K404+K400+K403+K405+K395</f>
        <v>3227000</v>
      </c>
      <c r="L393" s="22">
        <f>L394+L396+L399+L404+L400+L403+L405</f>
        <v>0</v>
      </c>
      <c r="M393" s="22">
        <f>M394+M396+M399+M404+M400+M403+M405</f>
        <v>0</v>
      </c>
      <c r="N393" s="22">
        <f>N394+N396+N399+N404+N400+N403+N405</f>
        <v>0</v>
      </c>
      <c r="O393" s="22">
        <f>O394+O396+O399+O404+O400+O403+O405+O395</f>
        <v>3227000</v>
      </c>
      <c r="P393" s="22">
        <f>P394+P396+P399+P404+P400+P403+P405+P395</f>
        <v>8321600</v>
      </c>
    </row>
    <row r="394" spans="1:18" ht="25.5" x14ac:dyDescent="0.2">
      <c r="A394" s="99" t="s">
        <v>384</v>
      </c>
      <c r="B394" s="4" t="s">
        <v>235</v>
      </c>
      <c r="C394" s="4" t="s">
        <v>163</v>
      </c>
      <c r="D394" s="12" t="s">
        <v>642</v>
      </c>
      <c r="E394" s="9">
        <f t="shared" ref="E394:E401" si="76">F394+I394</f>
        <v>1785600</v>
      </c>
      <c r="F394" s="10">
        <f>1885600-100000</f>
        <v>1785600</v>
      </c>
      <c r="G394" s="10">
        <f>1500000-100000</f>
        <v>1400000</v>
      </c>
      <c r="H394" s="10"/>
      <c r="I394" s="10"/>
      <c r="J394" s="9">
        <f>L394+O394</f>
        <v>28000</v>
      </c>
      <c r="K394" s="10">
        <f>228000-200000</f>
        <v>28000</v>
      </c>
      <c r="L394" s="10"/>
      <c r="M394" s="10"/>
      <c r="N394" s="10"/>
      <c r="O394" s="10">
        <f t="shared" ref="O394:O399" si="77">K394</f>
        <v>28000</v>
      </c>
      <c r="P394" s="11">
        <f t="shared" ref="P394:P410" si="78">E394+J394</f>
        <v>1813600</v>
      </c>
    </row>
    <row r="395" spans="1:18" x14ac:dyDescent="0.2">
      <c r="A395" s="99" t="s">
        <v>395</v>
      </c>
      <c r="B395" s="4" t="s">
        <v>394</v>
      </c>
      <c r="C395" s="4" t="s">
        <v>166</v>
      </c>
      <c r="D395" s="12" t="s">
        <v>393</v>
      </c>
      <c r="E395" s="9"/>
      <c r="F395" s="10"/>
      <c r="G395" s="10"/>
      <c r="H395" s="10"/>
      <c r="I395" s="10"/>
      <c r="J395" s="9">
        <f>L395+O395</f>
        <v>2130000</v>
      </c>
      <c r="K395" s="10">
        <f>2000000+130000</f>
        <v>2130000</v>
      </c>
      <c r="L395" s="10"/>
      <c r="M395" s="10"/>
      <c r="N395" s="10"/>
      <c r="O395" s="10">
        <f t="shared" si="77"/>
        <v>2130000</v>
      </c>
      <c r="P395" s="11">
        <f t="shared" si="78"/>
        <v>2130000</v>
      </c>
    </row>
    <row r="396" spans="1:18" x14ac:dyDescent="0.2">
      <c r="A396" s="99" t="s">
        <v>386</v>
      </c>
      <c r="B396" s="4" t="s">
        <v>385</v>
      </c>
      <c r="C396" s="4" t="s">
        <v>168</v>
      </c>
      <c r="D396" s="18" t="s">
        <v>24</v>
      </c>
      <c r="E396" s="9">
        <f t="shared" si="76"/>
        <v>0</v>
      </c>
      <c r="F396" s="10"/>
      <c r="G396" s="10"/>
      <c r="H396" s="10"/>
      <c r="I396" s="10"/>
      <c r="J396" s="9">
        <f>L396+O396</f>
        <v>700000</v>
      </c>
      <c r="K396" s="10">
        <v>700000</v>
      </c>
      <c r="L396" s="10"/>
      <c r="M396" s="10"/>
      <c r="N396" s="10"/>
      <c r="O396" s="10">
        <f t="shared" si="77"/>
        <v>700000</v>
      </c>
      <c r="P396" s="11">
        <f t="shared" si="78"/>
        <v>700000</v>
      </c>
    </row>
    <row r="397" spans="1:18" s="1" customFormat="1" ht="25.5" hidden="1" x14ac:dyDescent="0.2">
      <c r="A397" s="100" t="s">
        <v>395</v>
      </c>
      <c r="B397" s="3" t="s">
        <v>394</v>
      </c>
      <c r="C397" s="3" t="s">
        <v>166</v>
      </c>
      <c r="D397" s="60" t="s">
        <v>393</v>
      </c>
      <c r="E397" s="9">
        <f>F397+I397</f>
        <v>0</v>
      </c>
      <c r="F397" s="8"/>
      <c r="G397" s="8"/>
      <c r="H397" s="8"/>
      <c r="I397" s="8"/>
      <c r="J397" s="9">
        <f>L397+O397</f>
        <v>0</v>
      </c>
      <c r="K397" s="8"/>
      <c r="L397" s="8"/>
      <c r="M397" s="8"/>
      <c r="N397" s="8"/>
      <c r="O397" s="8">
        <f t="shared" si="77"/>
        <v>0</v>
      </c>
      <c r="P397" s="11">
        <f>E397+J397</f>
        <v>0</v>
      </c>
    </row>
    <row r="398" spans="1:18" s="1" customFormat="1" hidden="1" x14ac:dyDescent="0.2">
      <c r="A398" s="100"/>
      <c r="B398" s="3"/>
      <c r="C398" s="3"/>
      <c r="D398" s="60" t="s">
        <v>519</v>
      </c>
      <c r="E398" s="8"/>
      <c r="F398" s="8"/>
      <c r="G398" s="8"/>
      <c r="H398" s="8"/>
      <c r="I398" s="8"/>
      <c r="J398" s="9">
        <f>K398</f>
        <v>0</v>
      </c>
      <c r="K398" s="8"/>
      <c r="L398" s="8"/>
      <c r="M398" s="8"/>
      <c r="N398" s="8"/>
      <c r="O398" s="8">
        <f t="shared" si="77"/>
        <v>0</v>
      </c>
      <c r="P398" s="11">
        <f>E398+J398</f>
        <v>0</v>
      </c>
    </row>
    <row r="399" spans="1:18" x14ac:dyDescent="0.2">
      <c r="A399" s="99" t="s">
        <v>389</v>
      </c>
      <c r="B399" s="4" t="s">
        <v>388</v>
      </c>
      <c r="C399" s="4" t="s">
        <v>169</v>
      </c>
      <c r="D399" s="5" t="s">
        <v>387</v>
      </c>
      <c r="E399" s="9">
        <f t="shared" si="76"/>
        <v>0</v>
      </c>
      <c r="F399" s="10"/>
      <c r="G399" s="10"/>
      <c r="H399" s="10"/>
      <c r="I399" s="10"/>
      <c r="J399" s="9">
        <f>L399+O399</f>
        <v>279000</v>
      </c>
      <c r="K399" s="10">
        <f>199000+80000</f>
        <v>279000</v>
      </c>
      <c r="L399" s="10"/>
      <c r="M399" s="10"/>
      <c r="N399" s="10"/>
      <c r="O399" s="10">
        <f t="shared" si="77"/>
        <v>279000</v>
      </c>
      <c r="P399" s="11">
        <f t="shared" si="78"/>
        <v>279000</v>
      </c>
    </row>
    <row r="400" spans="1:18" ht="17.25" hidden="1" customHeight="1" x14ac:dyDescent="0.2">
      <c r="A400" s="99" t="s">
        <v>392</v>
      </c>
      <c r="B400" s="4" t="s">
        <v>391</v>
      </c>
      <c r="C400" s="4"/>
      <c r="D400" s="59" t="s">
        <v>390</v>
      </c>
      <c r="E400" s="9">
        <f t="shared" si="76"/>
        <v>0</v>
      </c>
      <c r="F400" s="9"/>
      <c r="G400" s="9"/>
      <c r="H400" s="9">
        <f>H397</f>
        <v>0</v>
      </c>
      <c r="I400" s="9">
        <f>I397</f>
        <v>0</v>
      </c>
      <c r="J400" s="9">
        <f>J397+J401</f>
        <v>0</v>
      </c>
      <c r="K400" s="9">
        <f>K397+K401</f>
        <v>0</v>
      </c>
      <c r="L400" s="9">
        <f>L397+L401</f>
        <v>0</v>
      </c>
      <c r="M400" s="9">
        <f>M397+M401</f>
        <v>0</v>
      </c>
      <c r="N400" s="9">
        <f>N397+N401</f>
        <v>0</v>
      </c>
      <c r="O400" s="10">
        <f>K400</f>
        <v>0</v>
      </c>
      <c r="P400" s="11">
        <f t="shared" si="78"/>
        <v>0</v>
      </c>
    </row>
    <row r="401" spans="1:18" s="1" customFormat="1" ht="38.25" hidden="1" x14ac:dyDescent="0.2">
      <c r="A401" s="100" t="s">
        <v>563</v>
      </c>
      <c r="B401" s="3" t="s">
        <v>564</v>
      </c>
      <c r="C401" s="3"/>
      <c r="D401" s="68" t="s">
        <v>565</v>
      </c>
      <c r="E401" s="9">
        <f t="shared" si="76"/>
        <v>0</v>
      </c>
      <c r="F401" s="8"/>
      <c r="G401" s="8"/>
      <c r="H401" s="8"/>
      <c r="I401" s="8"/>
      <c r="J401" s="9">
        <f>L401+O401</f>
        <v>0</v>
      </c>
      <c r="K401" s="8"/>
      <c r="L401" s="8"/>
      <c r="M401" s="8"/>
      <c r="N401" s="8"/>
      <c r="O401" s="10">
        <f>K401</f>
        <v>0</v>
      </c>
      <c r="P401" s="11">
        <f t="shared" si="78"/>
        <v>0</v>
      </c>
    </row>
    <row r="402" spans="1:18" s="1" customFormat="1" ht="51" hidden="1" x14ac:dyDescent="0.2">
      <c r="A402" s="100"/>
      <c r="B402" s="3"/>
      <c r="C402" s="3"/>
      <c r="D402" s="60" t="s">
        <v>566</v>
      </c>
      <c r="E402" s="9"/>
      <c r="F402" s="8"/>
      <c r="G402" s="8"/>
      <c r="H402" s="8"/>
      <c r="I402" s="8"/>
      <c r="J402" s="9">
        <f>L402+O402</f>
        <v>0</v>
      </c>
      <c r="K402" s="8"/>
      <c r="L402" s="8"/>
      <c r="M402" s="8"/>
      <c r="N402" s="8"/>
      <c r="O402" s="10">
        <f>K402</f>
        <v>0</v>
      </c>
      <c r="P402" s="11">
        <f t="shared" si="78"/>
        <v>0</v>
      </c>
    </row>
    <row r="403" spans="1:18" hidden="1" x14ac:dyDescent="0.2">
      <c r="A403" s="99" t="s">
        <v>512</v>
      </c>
      <c r="B403" s="4" t="s">
        <v>223</v>
      </c>
      <c r="C403" s="4" t="s">
        <v>169</v>
      </c>
      <c r="D403" s="68" t="s">
        <v>375</v>
      </c>
      <c r="E403" s="9"/>
      <c r="F403" s="9"/>
      <c r="G403" s="9"/>
      <c r="H403" s="9"/>
      <c r="I403" s="9"/>
      <c r="J403" s="9">
        <f>L403+O403</f>
        <v>0</v>
      </c>
      <c r="K403" s="9"/>
      <c r="L403" s="9"/>
      <c r="M403" s="9"/>
      <c r="N403" s="9"/>
      <c r="O403" s="10">
        <f>K403</f>
        <v>0</v>
      </c>
      <c r="P403" s="11">
        <f t="shared" si="78"/>
        <v>0</v>
      </c>
    </row>
    <row r="404" spans="1:18" hidden="1" x14ac:dyDescent="0.2">
      <c r="A404" s="99" t="s">
        <v>495</v>
      </c>
      <c r="B404" s="4" t="s">
        <v>228</v>
      </c>
      <c r="C404" s="4"/>
      <c r="D404" s="68" t="s">
        <v>230</v>
      </c>
      <c r="E404" s="9">
        <f>E406</f>
        <v>3309000</v>
      </c>
      <c r="F404" s="9"/>
      <c r="G404" s="9"/>
      <c r="H404" s="9">
        <f t="shared" ref="H404:N404" si="79">H406</f>
        <v>0</v>
      </c>
      <c r="I404" s="9">
        <f t="shared" si="79"/>
        <v>0</v>
      </c>
      <c r="J404" s="9">
        <f t="shared" si="79"/>
        <v>90000</v>
      </c>
      <c r="K404" s="9">
        <f>K406</f>
        <v>90000</v>
      </c>
      <c r="L404" s="9">
        <f t="shared" si="79"/>
        <v>0</v>
      </c>
      <c r="M404" s="9">
        <f t="shared" si="79"/>
        <v>0</v>
      </c>
      <c r="N404" s="9">
        <f t="shared" si="79"/>
        <v>0</v>
      </c>
      <c r="O404" s="10">
        <f>K404</f>
        <v>90000</v>
      </c>
      <c r="P404" s="11">
        <f t="shared" si="78"/>
        <v>3399000</v>
      </c>
    </row>
    <row r="405" spans="1:18" hidden="1" x14ac:dyDescent="0.2">
      <c r="A405" s="99"/>
      <c r="B405" s="4"/>
      <c r="C405" s="4"/>
      <c r="D405" s="68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10"/>
      <c r="P405" s="11">
        <f t="shared" si="78"/>
        <v>0</v>
      </c>
    </row>
    <row r="406" spans="1:18" ht="15" customHeight="1" x14ac:dyDescent="0.2">
      <c r="A406" s="99" t="s">
        <v>496</v>
      </c>
      <c r="B406" s="4" t="s">
        <v>232</v>
      </c>
      <c r="C406" s="4" t="s">
        <v>169</v>
      </c>
      <c r="D406" s="68" t="s">
        <v>233</v>
      </c>
      <c r="E406" s="9">
        <f>F406+I406</f>
        <v>3309000</v>
      </c>
      <c r="F406" s="9">
        <f>199000+3110000+700000-700000</f>
        <v>3309000</v>
      </c>
      <c r="G406" s="9"/>
      <c r="H406" s="9"/>
      <c r="I406" s="9"/>
      <c r="J406" s="9">
        <f>L406+O406</f>
        <v>90000</v>
      </c>
      <c r="K406" s="9">
        <v>90000</v>
      </c>
      <c r="L406" s="9"/>
      <c r="M406" s="9"/>
      <c r="N406" s="9"/>
      <c r="O406" s="9">
        <f>K406</f>
        <v>90000</v>
      </c>
      <c r="P406" s="11">
        <f t="shared" si="78"/>
        <v>3399000</v>
      </c>
    </row>
    <row r="407" spans="1:18" ht="25.5" x14ac:dyDescent="0.2">
      <c r="A407" s="97" t="s">
        <v>684</v>
      </c>
      <c r="B407" s="103"/>
      <c r="C407" s="6"/>
      <c r="D407" s="28" t="s">
        <v>0</v>
      </c>
      <c r="E407" s="22">
        <f>E408</f>
        <v>6179500</v>
      </c>
      <c r="F407" s="22">
        <f t="shared" ref="F407:P408" si="80">F408</f>
        <v>6179500</v>
      </c>
      <c r="G407" s="22">
        <f t="shared" si="80"/>
        <v>4867700</v>
      </c>
      <c r="H407" s="22">
        <f t="shared" si="80"/>
        <v>156100</v>
      </c>
      <c r="I407" s="22">
        <f t="shared" si="80"/>
        <v>0</v>
      </c>
      <c r="J407" s="22">
        <f t="shared" si="80"/>
        <v>0</v>
      </c>
      <c r="K407" s="22">
        <f t="shared" si="80"/>
        <v>0</v>
      </c>
      <c r="L407" s="22">
        <f t="shared" si="80"/>
        <v>0</v>
      </c>
      <c r="M407" s="22">
        <f t="shared" si="80"/>
        <v>0</v>
      </c>
      <c r="N407" s="22">
        <f t="shared" si="80"/>
        <v>0</v>
      </c>
      <c r="O407" s="22">
        <f t="shared" si="80"/>
        <v>0</v>
      </c>
      <c r="P407" s="22">
        <f t="shared" si="80"/>
        <v>6179500</v>
      </c>
      <c r="R407" s="31"/>
    </row>
    <row r="408" spans="1:18" ht="25.5" x14ac:dyDescent="0.2">
      <c r="A408" s="99" t="s">
        <v>685</v>
      </c>
      <c r="B408" s="17"/>
      <c r="C408" s="6"/>
      <c r="D408" s="13" t="s">
        <v>0</v>
      </c>
      <c r="E408" s="22">
        <f>E409</f>
        <v>6179500</v>
      </c>
      <c r="F408" s="22">
        <f t="shared" si="80"/>
        <v>6179500</v>
      </c>
      <c r="G408" s="22">
        <f t="shared" si="80"/>
        <v>4867700</v>
      </c>
      <c r="H408" s="22">
        <f t="shared" si="80"/>
        <v>156100</v>
      </c>
      <c r="I408" s="22">
        <f t="shared" si="80"/>
        <v>0</v>
      </c>
      <c r="J408" s="22">
        <f t="shared" si="80"/>
        <v>0</v>
      </c>
      <c r="K408" s="22">
        <f t="shared" si="80"/>
        <v>0</v>
      </c>
      <c r="L408" s="22">
        <f t="shared" si="80"/>
        <v>0</v>
      </c>
      <c r="M408" s="22">
        <f t="shared" si="80"/>
        <v>0</v>
      </c>
      <c r="N408" s="22">
        <f t="shared" si="80"/>
        <v>0</v>
      </c>
      <c r="O408" s="22">
        <f t="shared" si="80"/>
        <v>0</v>
      </c>
      <c r="P408" s="22">
        <f t="shared" si="80"/>
        <v>6179500</v>
      </c>
    </row>
    <row r="409" spans="1:18" ht="25.9" customHeight="1" x14ac:dyDescent="0.2">
      <c r="A409" s="99" t="s">
        <v>686</v>
      </c>
      <c r="B409" s="4" t="s">
        <v>235</v>
      </c>
      <c r="C409" s="4" t="s">
        <v>163</v>
      </c>
      <c r="D409" s="12" t="s">
        <v>642</v>
      </c>
      <c r="E409" s="9">
        <f>F409+I409</f>
        <v>6179500</v>
      </c>
      <c r="F409" s="10">
        <f>6169500+10000</f>
        <v>6179500</v>
      </c>
      <c r="G409" s="10">
        <f>3070100+300000+1367600+130000</f>
        <v>4867700</v>
      </c>
      <c r="H409" s="10">
        <f>146100+10000</f>
        <v>156100</v>
      </c>
      <c r="I409" s="10"/>
      <c r="J409" s="9">
        <f>L409+O409</f>
        <v>0</v>
      </c>
      <c r="K409" s="10"/>
      <c r="L409" s="10"/>
      <c r="M409" s="10"/>
      <c r="N409" s="10"/>
      <c r="O409" s="10">
        <f>K409</f>
        <v>0</v>
      </c>
      <c r="P409" s="11">
        <f>E409+J409</f>
        <v>6179500</v>
      </c>
    </row>
    <row r="410" spans="1:18" ht="15" customHeight="1" x14ac:dyDescent="0.2">
      <c r="A410" s="97">
        <v>3700000</v>
      </c>
      <c r="B410" s="103"/>
      <c r="C410" s="6"/>
      <c r="D410" s="28" t="s">
        <v>119</v>
      </c>
      <c r="E410" s="22">
        <f>E411</f>
        <v>28521400</v>
      </c>
      <c r="F410" s="22">
        <f t="shared" ref="F410:O410" si="81">F411</f>
        <v>28366400</v>
      </c>
      <c r="G410" s="22">
        <f t="shared" si="81"/>
        <v>7380000</v>
      </c>
      <c r="H410" s="22">
        <f t="shared" si="81"/>
        <v>182000</v>
      </c>
      <c r="I410" s="22">
        <f t="shared" si="81"/>
        <v>0</v>
      </c>
      <c r="J410" s="22">
        <f t="shared" si="81"/>
        <v>2926211</v>
      </c>
      <c r="K410" s="22">
        <f>K411</f>
        <v>2926211</v>
      </c>
      <c r="L410" s="22">
        <f t="shared" si="81"/>
        <v>0</v>
      </c>
      <c r="M410" s="22">
        <f t="shared" si="81"/>
        <v>0</v>
      </c>
      <c r="N410" s="22">
        <f t="shared" si="81"/>
        <v>0</v>
      </c>
      <c r="O410" s="22">
        <f t="shared" si="81"/>
        <v>2926211</v>
      </c>
      <c r="P410" s="11">
        <f t="shared" si="78"/>
        <v>31447611</v>
      </c>
      <c r="R410" s="31"/>
    </row>
    <row r="411" spans="1:18" x14ac:dyDescent="0.2">
      <c r="A411" s="99" t="s">
        <v>396</v>
      </c>
      <c r="B411" s="17"/>
      <c r="C411" s="6"/>
      <c r="D411" s="13" t="s">
        <v>119</v>
      </c>
      <c r="E411" s="22">
        <f>E412+E414+E416+E413+E415</f>
        <v>28521400</v>
      </c>
      <c r="F411" s="22">
        <f t="shared" ref="F411:P411" si="82">F412+F414+F416+F413+F415</f>
        <v>28366400</v>
      </c>
      <c r="G411" s="22">
        <f t="shared" si="82"/>
        <v>7380000</v>
      </c>
      <c r="H411" s="22">
        <f t="shared" si="82"/>
        <v>182000</v>
      </c>
      <c r="I411" s="22">
        <f t="shared" si="82"/>
        <v>0</v>
      </c>
      <c r="J411" s="22">
        <f>J412+J414+J416+J413+J415</f>
        <v>2926211</v>
      </c>
      <c r="K411" s="22">
        <f>K412+K414+K416+K413+K415</f>
        <v>2926211</v>
      </c>
      <c r="L411" s="22">
        <f t="shared" si="82"/>
        <v>0</v>
      </c>
      <c r="M411" s="22">
        <f t="shared" si="82"/>
        <v>0</v>
      </c>
      <c r="N411" s="22">
        <f t="shared" si="82"/>
        <v>0</v>
      </c>
      <c r="O411" s="22">
        <f t="shared" si="82"/>
        <v>2926211</v>
      </c>
      <c r="P411" s="22">
        <f t="shared" si="82"/>
        <v>31447611</v>
      </c>
    </row>
    <row r="412" spans="1:18" ht="25.9" customHeight="1" x14ac:dyDescent="0.2">
      <c r="A412" s="99" t="s">
        <v>397</v>
      </c>
      <c r="B412" s="4" t="s">
        <v>235</v>
      </c>
      <c r="C412" s="4" t="s">
        <v>163</v>
      </c>
      <c r="D412" s="12" t="s">
        <v>642</v>
      </c>
      <c r="E412" s="9">
        <f>F412+I412</f>
        <v>10055400</v>
      </c>
      <c r="F412" s="10">
        <f>9555400+200000+20000+50000+10000+20000+200000</f>
        <v>10055400</v>
      </c>
      <c r="G412" s="10">
        <v>7380000</v>
      </c>
      <c r="H412" s="10">
        <f>102000+20000+50000+10000</f>
        <v>182000</v>
      </c>
      <c r="I412" s="10"/>
      <c r="J412" s="9">
        <f>L412+O412</f>
        <v>266190</v>
      </c>
      <c r="K412" s="10">
        <f>4646190-10000-3750000-600000-20000</f>
        <v>266190</v>
      </c>
      <c r="L412" s="10"/>
      <c r="M412" s="10"/>
      <c r="N412" s="10"/>
      <c r="O412" s="10">
        <f>K412</f>
        <v>266190</v>
      </c>
      <c r="P412" s="11">
        <f>E412+J412</f>
        <v>10321590</v>
      </c>
    </row>
    <row r="413" spans="1:18" x14ac:dyDescent="0.2">
      <c r="A413" s="99" t="s">
        <v>548</v>
      </c>
      <c r="B413" s="4" t="s">
        <v>75</v>
      </c>
      <c r="C413" s="4" t="s">
        <v>549</v>
      </c>
      <c r="D413" s="41" t="s">
        <v>550</v>
      </c>
      <c r="E413" s="9">
        <f>F413+I413</f>
        <v>13245000</v>
      </c>
      <c r="F413" s="10">
        <f>14745000-1500000</f>
        <v>13245000</v>
      </c>
      <c r="G413" s="10"/>
      <c r="H413" s="10"/>
      <c r="I413" s="10"/>
      <c r="J413" s="9"/>
      <c r="K413" s="10"/>
      <c r="L413" s="10"/>
      <c r="M413" s="10"/>
      <c r="N413" s="10"/>
      <c r="O413" s="10"/>
      <c r="P413" s="11">
        <f>E413+J413</f>
        <v>13245000</v>
      </c>
    </row>
    <row r="414" spans="1:18" x14ac:dyDescent="0.2">
      <c r="A414" s="99" t="s">
        <v>677</v>
      </c>
      <c r="B414" s="17" t="s">
        <v>678</v>
      </c>
      <c r="C414" s="4" t="s">
        <v>176</v>
      </c>
      <c r="D414" s="12" t="s">
        <v>679</v>
      </c>
      <c r="E414" s="11">
        <f>3870000-145000-280000-190000-1100000+500000-2500000</f>
        <v>155000</v>
      </c>
      <c r="F414" s="10"/>
      <c r="G414" s="10"/>
      <c r="H414" s="10"/>
      <c r="I414" s="10"/>
      <c r="J414" s="9">
        <f>L414+O414</f>
        <v>0</v>
      </c>
      <c r="K414" s="10"/>
      <c r="L414" s="10"/>
      <c r="M414" s="10"/>
      <c r="N414" s="10"/>
      <c r="O414" s="10">
        <f>K414</f>
        <v>0</v>
      </c>
      <c r="P414" s="11">
        <f>E414+J414</f>
        <v>155000</v>
      </c>
    </row>
    <row r="415" spans="1:18" x14ac:dyDescent="0.2">
      <c r="A415" s="99" t="s">
        <v>533</v>
      </c>
      <c r="B415" s="17" t="s">
        <v>534</v>
      </c>
      <c r="C415" s="4" t="s">
        <v>523</v>
      </c>
      <c r="D415" s="12" t="s">
        <v>535</v>
      </c>
      <c r="E415" s="22">
        <f>F415</f>
        <v>4116000</v>
      </c>
      <c r="F415" s="10">
        <f>1266000+2100000-350000+1100000</f>
        <v>4116000</v>
      </c>
      <c r="G415" s="10"/>
      <c r="H415" s="10"/>
      <c r="I415" s="10"/>
      <c r="J415" s="9">
        <f>L415+O415</f>
        <v>830000</v>
      </c>
      <c r="K415" s="10">
        <f>480000+350000</f>
        <v>830000</v>
      </c>
      <c r="L415" s="10"/>
      <c r="M415" s="10"/>
      <c r="N415" s="10"/>
      <c r="O415" s="10">
        <f>K415</f>
        <v>830000</v>
      </c>
      <c r="P415" s="11">
        <f>E415+J415</f>
        <v>4946000</v>
      </c>
    </row>
    <row r="416" spans="1:18" ht="25.5" x14ac:dyDescent="0.2">
      <c r="A416" s="99" t="s">
        <v>524</v>
      </c>
      <c r="B416" s="17" t="s">
        <v>521</v>
      </c>
      <c r="C416" s="4" t="s">
        <v>523</v>
      </c>
      <c r="D416" s="12" t="s">
        <v>522</v>
      </c>
      <c r="E416" s="22">
        <f>F416+I416</f>
        <v>950000</v>
      </c>
      <c r="F416" s="10">
        <f>50000+700000+200000</f>
        <v>950000</v>
      </c>
      <c r="G416" s="10"/>
      <c r="H416" s="10"/>
      <c r="I416" s="10"/>
      <c r="J416" s="9">
        <f>L416+O416</f>
        <v>1830021</v>
      </c>
      <c r="K416" s="10">
        <f>1610621+109400+110000</f>
        <v>1830021</v>
      </c>
      <c r="L416" s="10"/>
      <c r="M416" s="10"/>
      <c r="N416" s="10"/>
      <c r="O416" s="10">
        <f>K416</f>
        <v>1830021</v>
      </c>
      <c r="P416" s="11">
        <f>E416+J416</f>
        <v>2780021</v>
      </c>
    </row>
    <row r="417" spans="1:18" ht="15.75" customHeight="1" x14ac:dyDescent="0.2">
      <c r="A417" s="99"/>
      <c r="B417" s="17"/>
      <c r="C417" s="75"/>
      <c r="D417" s="28" t="s">
        <v>120</v>
      </c>
      <c r="E417" s="22">
        <f t="shared" ref="E417:P417" si="83">E14+E42+E98+E156+E247+E253+E267+E286+E316+E391+E410+E407</f>
        <v>1059459091</v>
      </c>
      <c r="F417" s="22">
        <f t="shared" si="83"/>
        <v>1059304091</v>
      </c>
      <c r="G417" s="22">
        <f t="shared" si="83"/>
        <v>535413784</v>
      </c>
      <c r="H417" s="22">
        <f t="shared" si="83"/>
        <v>81117355</v>
      </c>
      <c r="I417" s="22">
        <f t="shared" si="83"/>
        <v>0</v>
      </c>
      <c r="J417" s="22">
        <f t="shared" si="83"/>
        <v>473731740</v>
      </c>
      <c r="K417" s="22">
        <f t="shared" si="83"/>
        <v>412841905</v>
      </c>
      <c r="L417" s="22">
        <f t="shared" si="83"/>
        <v>28557958</v>
      </c>
      <c r="M417" s="22">
        <f t="shared" si="83"/>
        <v>3004583</v>
      </c>
      <c r="N417" s="22">
        <f t="shared" si="83"/>
        <v>643250</v>
      </c>
      <c r="O417" s="22">
        <f t="shared" si="83"/>
        <v>445173782</v>
      </c>
      <c r="P417" s="22">
        <f t="shared" si="83"/>
        <v>1533190831</v>
      </c>
      <c r="R417" s="31"/>
    </row>
    <row r="418" spans="1:18" x14ac:dyDescent="0.2">
      <c r="P418" s="31"/>
    </row>
    <row r="419" spans="1:18" ht="19.5" customHeight="1" x14ac:dyDescent="0.2">
      <c r="D419" s="76" t="s">
        <v>630</v>
      </c>
      <c r="E419" s="76"/>
      <c r="F419" s="76"/>
      <c r="G419" s="76"/>
      <c r="H419" s="76"/>
      <c r="I419" s="76"/>
      <c r="J419" s="76"/>
      <c r="K419" s="76"/>
      <c r="O419" s="76" t="s">
        <v>631</v>
      </c>
    </row>
    <row r="420" spans="1:18" ht="25.5" customHeight="1" x14ac:dyDescent="0.25">
      <c r="D420" s="108" t="s">
        <v>637</v>
      </c>
      <c r="E420" s="109"/>
      <c r="O420" s="2" t="s">
        <v>638</v>
      </c>
    </row>
    <row r="421" spans="1:18" ht="13.9" customHeight="1" x14ac:dyDescent="0.2"/>
    <row r="422" spans="1:18" ht="12.6" customHeight="1" x14ac:dyDescent="0.2">
      <c r="E422" s="77">
        <v>1216519856</v>
      </c>
      <c r="F422" s="77"/>
      <c r="G422" s="77"/>
      <c r="H422" s="77"/>
      <c r="I422" s="77"/>
      <c r="J422" s="77">
        <v>196762594</v>
      </c>
      <c r="K422" s="77">
        <v>136899398</v>
      </c>
      <c r="L422" s="77"/>
      <c r="M422" s="77"/>
      <c r="N422" s="77"/>
      <c r="O422" s="77"/>
      <c r="P422" s="77">
        <v>1413282450</v>
      </c>
      <c r="Q422" s="2" t="s">
        <v>633</v>
      </c>
    </row>
    <row r="423" spans="1:18" x14ac:dyDescent="0.2">
      <c r="E423" s="77">
        <f>E417-E422</f>
        <v>-157060765</v>
      </c>
      <c r="F423" s="77"/>
      <c r="G423" s="77"/>
      <c r="H423" s="77"/>
      <c r="I423" s="77"/>
      <c r="J423" s="77">
        <f>J422-J417</f>
        <v>-276969146</v>
      </c>
      <c r="K423" s="77">
        <f>K422-K417</f>
        <v>-275942507</v>
      </c>
      <c r="L423" s="77"/>
      <c r="M423" s="77"/>
      <c r="N423" s="77"/>
      <c r="O423" s="77"/>
      <c r="P423" s="77">
        <f>P422-P417</f>
        <v>-119908381</v>
      </c>
      <c r="Q423" s="2" t="s">
        <v>634</v>
      </c>
    </row>
    <row r="424" spans="1:18" x14ac:dyDescent="0.2">
      <c r="E424" s="77">
        <v>-154360765</v>
      </c>
      <c r="F424" s="77"/>
      <c r="G424" s="77"/>
      <c r="H424" s="77"/>
      <c r="I424" s="77"/>
      <c r="J424" s="77">
        <v>275591646</v>
      </c>
      <c r="K424" s="77">
        <v>274565007</v>
      </c>
      <c r="L424" s="77"/>
      <c r="M424" s="77"/>
      <c r="N424" s="77"/>
      <c r="O424" s="77"/>
      <c r="P424" s="77">
        <v>121230881</v>
      </c>
      <c r="Q424" s="2" t="s">
        <v>635</v>
      </c>
    </row>
    <row r="425" spans="1:18" x14ac:dyDescent="0.2">
      <c r="E425" s="77">
        <f>E423-E424</f>
        <v>-2700000</v>
      </c>
      <c r="F425" s="77"/>
      <c r="G425" s="77"/>
      <c r="H425" s="77"/>
      <c r="I425" s="77"/>
      <c r="J425" s="77">
        <f>J423+J424</f>
        <v>-1377500</v>
      </c>
      <c r="K425" s="77">
        <f>K423+K424</f>
        <v>-1377500</v>
      </c>
      <c r="L425" s="77"/>
      <c r="M425" s="77"/>
      <c r="N425" s="77"/>
      <c r="O425" s="77"/>
      <c r="P425" s="77">
        <f>P423+P424</f>
        <v>1322500</v>
      </c>
    </row>
    <row r="426" spans="1:18" x14ac:dyDescent="0.2">
      <c r="E426" s="77">
        <v>2700000</v>
      </c>
      <c r="F426" s="77"/>
      <c r="G426" s="77"/>
      <c r="H426" s="77"/>
      <c r="I426" s="77"/>
      <c r="J426" s="77">
        <v>-1377500</v>
      </c>
      <c r="K426" s="77">
        <v>-1377500</v>
      </c>
      <c r="L426" s="77"/>
      <c r="M426" s="77"/>
      <c r="N426" s="77"/>
      <c r="O426" s="77"/>
      <c r="P426" s="77">
        <v>1322500</v>
      </c>
      <c r="Q426" s="2" t="s">
        <v>636</v>
      </c>
    </row>
    <row r="427" spans="1:18" x14ac:dyDescent="0.2">
      <c r="E427" s="77">
        <f>E425+E426</f>
        <v>0</v>
      </c>
      <c r="F427" s="77"/>
      <c r="G427" s="77"/>
      <c r="H427" s="77"/>
      <c r="I427" s="77"/>
      <c r="J427" s="77">
        <f>J425-J426</f>
        <v>0</v>
      </c>
      <c r="K427" s="77">
        <f>K425-K426</f>
        <v>0</v>
      </c>
      <c r="L427" s="77"/>
      <c r="M427" s="77"/>
      <c r="N427" s="77"/>
      <c r="O427" s="77"/>
      <c r="P427" s="77">
        <f>P425-P426</f>
        <v>0</v>
      </c>
    </row>
    <row r="428" spans="1:18" x14ac:dyDescent="0.2"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1:18" x14ac:dyDescent="0.2">
      <c r="K429" s="77"/>
    </row>
    <row r="430" spans="1:18" x14ac:dyDescent="0.2">
      <c r="E430" s="2">
        <f>50000/E417*100</f>
        <v>4.719389396414175E-3</v>
      </c>
    </row>
    <row r="431" spans="1:18" x14ac:dyDescent="0.2">
      <c r="E431" s="2">
        <f>E414/E417*100</f>
        <v>1.4630107128883942E-2</v>
      </c>
    </row>
    <row r="432" spans="1:18" x14ac:dyDescent="0.2">
      <c r="D432" s="106"/>
    </row>
  </sheetData>
  <mergeCells count="25"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  <mergeCell ref="N11:N12"/>
    <mergeCell ref="M11:M12"/>
    <mergeCell ref="M10:N10"/>
    <mergeCell ref="N2:P2"/>
    <mergeCell ref="N4:P4"/>
    <mergeCell ref="C5:P5"/>
    <mergeCell ref="C6:P6"/>
    <mergeCell ref="D420:E420"/>
    <mergeCell ref="L10:L12"/>
    <mergeCell ref="G11:G12"/>
    <mergeCell ref="H11:H12"/>
    <mergeCell ref="I10:I12"/>
    <mergeCell ref="E10:E12"/>
    <mergeCell ref="F10:F12"/>
    <mergeCell ref="J10:J12"/>
  </mergeCells>
  <phoneticPr fontId="13" type="noConversion"/>
  <hyperlinks>
    <hyperlink ref="C38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2021-11-01T07:28:25Z</cp:lastPrinted>
  <dcterms:created xsi:type="dcterms:W3CDTF">2016-02-15T14:53:30Z</dcterms:created>
  <dcterms:modified xsi:type="dcterms:W3CDTF">2021-11-16T13:45:46Z</dcterms:modified>
</cp:coreProperties>
</file>