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14\1.4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(2)'!$A$1:$P$428</definedName>
  </definedNames>
  <calcPr calcId="191029" fullCalcOnLoad="1"/>
</workbook>
</file>

<file path=xl/calcChain.xml><?xml version="1.0" encoding="utf-8"?>
<calcChain xmlns="http://schemas.openxmlformats.org/spreadsheetml/2006/main">
  <c r="O109" i="8" l="1"/>
  <c r="K109" i="8"/>
  <c r="K356" i="8"/>
  <c r="K289" i="8"/>
  <c r="K285" i="8"/>
  <c r="K284" i="8"/>
  <c r="K270" i="8"/>
  <c r="K32" i="8"/>
  <c r="H57" i="8"/>
  <c r="F57" i="8"/>
  <c r="H53" i="8"/>
  <c r="F53" i="8"/>
  <c r="K414" i="8"/>
  <c r="K404" i="8"/>
  <c r="K108" i="8"/>
  <c r="K41" i="8"/>
  <c r="K382" i="8"/>
  <c r="K376" i="8"/>
  <c r="K360" i="8"/>
  <c r="O360" i="8"/>
  <c r="K344" i="8"/>
  <c r="K337" i="8"/>
  <c r="J434" i="8"/>
  <c r="F423" i="8"/>
  <c r="F421" i="8"/>
  <c r="H420" i="8"/>
  <c r="F83" i="8"/>
  <c r="G334" i="8"/>
  <c r="H108" i="8"/>
  <c r="O386" i="8"/>
  <c r="J386" i="8"/>
  <c r="P386" i="8"/>
  <c r="F273" i="8"/>
  <c r="F144" i="8"/>
  <c r="G57" i="8"/>
  <c r="E57" i="8"/>
  <c r="G53" i="8"/>
  <c r="O108" i="8"/>
  <c r="P252" i="8"/>
  <c r="L252" i="8"/>
  <c r="M252" i="8"/>
  <c r="N252" i="8"/>
  <c r="O252" i="8"/>
  <c r="K252" i="8"/>
  <c r="L159" i="8"/>
  <c r="M159" i="8"/>
  <c r="N159" i="8"/>
  <c r="K158" i="8"/>
  <c r="L158" i="8"/>
  <c r="M158" i="8"/>
  <c r="N158" i="8"/>
  <c r="H285" i="8"/>
  <c r="G285" i="8"/>
  <c r="F285" i="8"/>
  <c r="K383" i="8"/>
  <c r="K328" i="8"/>
  <c r="K253" i="8"/>
  <c r="J259" i="8"/>
  <c r="P259" i="8"/>
  <c r="J258" i="8"/>
  <c r="P258" i="8"/>
  <c r="O259" i="8"/>
  <c r="O258" i="8"/>
  <c r="K242" i="8"/>
  <c r="O242" i="8"/>
  <c r="J242" i="8"/>
  <c r="J159" i="8"/>
  <c r="P159" i="8"/>
  <c r="K241" i="8"/>
  <c r="O241" i="8"/>
  <c r="J241" i="8"/>
  <c r="F352" i="8"/>
  <c r="E352" i="8"/>
  <c r="E421" i="8"/>
  <c r="P421" i="8"/>
  <c r="G162" i="8"/>
  <c r="F162" i="8"/>
  <c r="O396" i="8"/>
  <c r="O395" i="8"/>
  <c r="J395" i="8"/>
  <c r="P395" i="8"/>
  <c r="O37" i="8"/>
  <c r="O36" i="8"/>
  <c r="J36" i="8"/>
  <c r="P36" i="8"/>
  <c r="O382" i="8"/>
  <c r="J382" i="8"/>
  <c r="P382" i="8"/>
  <c r="K153" i="8"/>
  <c r="K115" i="8"/>
  <c r="O115" i="8"/>
  <c r="J115" i="8"/>
  <c r="K368" i="8"/>
  <c r="O368" i="8"/>
  <c r="J368" i="8"/>
  <c r="G417" i="8"/>
  <c r="G60" i="8"/>
  <c r="G77" i="8"/>
  <c r="G79" i="8"/>
  <c r="G83" i="8"/>
  <c r="G88" i="8"/>
  <c r="J397" i="8"/>
  <c r="P397" i="8"/>
  <c r="K346" i="8"/>
  <c r="O346" i="8"/>
  <c r="J346" i="8"/>
  <c r="K394" i="8"/>
  <c r="O394" i="8"/>
  <c r="J394" i="8"/>
  <c r="K379" i="8"/>
  <c r="O379" i="8"/>
  <c r="F356" i="8"/>
  <c r="E422" i="8"/>
  <c r="H269" i="8"/>
  <c r="F109" i="8"/>
  <c r="E144" i="8"/>
  <c r="E53" i="8"/>
  <c r="E51" i="8"/>
  <c r="E42" i="8"/>
  <c r="H83" i="8"/>
  <c r="E83" i="8"/>
  <c r="K53" i="8"/>
  <c r="F79" i="8"/>
  <c r="E79" i="8"/>
  <c r="K341" i="8"/>
  <c r="G76" i="8"/>
  <c r="F76" i="8"/>
  <c r="E76" i="8"/>
  <c r="K76" i="8"/>
  <c r="K57" i="8"/>
  <c r="O57" i="8"/>
  <c r="F289" i="8"/>
  <c r="F420" i="8"/>
  <c r="E420" i="8"/>
  <c r="H17" i="8"/>
  <c r="F291" i="8"/>
  <c r="E291" i="8"/>
  <c r="G291" i="8"/>
  <c r="K17" i="8"/>
  <c r="O17" i="8"/>
  <c r="O376" i="8"/>
  <c r="J376" i="8"/>
  <c r="P376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E273" i="8"/>
  <c r="K91" i="8"/>
  <c r="O91" i="8"/>
  <c r="J91" i="8"/>
  <c r="F88" i="8"/>
  <c r="E88" i="8"/>
  <c r="P88" i="8"/>
  <c r="G52" i="8"/>
  <c r="F52" i="8"/>
  <c r="E52" i="8"/>
  <c r="F77" i="8"/>
  <c r="E77" i="8"/>
  <c r="H77" i="8"/>
  <c r="G269" i="8"/>
  <c r="G254" i="8"/>
  <c r="G253" i="8"/>
  <c r="G251" i="8"/>
  <c r="F254" i="8"/>
  <c r="G277" i="8"/>
  <c r="F277" i="8"/>
  <c r="E356" i="8"/>
  <c r="F41" i="8"/>
  <c r="E41" i="8"/>
  <c r="K403" i="8"/>
  <c r="O403" i="8"/>
  <c r="J403" i="8"/>
  <c r="P403" i="8"/>
  <c r="F245" i="8"/>
  <c r="E245" i="8"/>
  <c r="F247" i="8"/>
  <c r="E247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J109" i="8"/>
  <c r="J107" i="8"/>
  <c r="J98" i="8"/>
  <c r="K375" i="8"/>
  <c r="K330" i="8"/>
  <c r="K34" i="8"/>
  <c r="F34" i="8"/>
  <c r="E34" i="8"/>
  <c r="F384" i="8"/>
  <c r="E384" i="8"/>
  <c r="K381" i="8"/>
  <c r="K327" i="8"/>
  <c r="K380" i="8"/>
  <c r="O380" i="8"/>
  <c r="J380" i="8"/>
  <c r="P380" i="8"/>
  <c r="K103" i="8"/>
  <c r="K407" i="8"/>
  <c r="K77" i="8"/>
  <c r="O77" i="8"/>
  <c r="F86" i="8"/>
  <c r="E86" i="8"/>
  <c r="G90" i="8"/>
  <c r="O90" i="8"/>
  <c r="J90" i="8"/>
  <c r="F90" i="8"/>
  <c r="E90" i="8"/>
  <c r="K420" i="8"/>
  <c r="O420" i="8"/>
  <c r="F386" i="8"/>
  <c r="F126" i="8"/>
  <c r="E126" i="8"/>
  <c r="F143" i="8"/>
  <c r="E143" i="8"/>
  <c r="K424" i="8"/>
  <c r="O424" i="8"/>
  <c r="J424" i="8"/>
  <c r="F424" i="8"/>
  <c r="E424" i="8"/>
  <c r="K359" i="8"/>
  <c r="O359" i="8"/>
  <c r="J359" i="8"/>
  <c r="O153" i="8"/>
  <c r="O31" i="8"/>
  <c r="L31" i="8"/>
  <c r="J31" i="8"/>
  <c r="P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P263" i="8"/>
  <c r="F263" i="8"/>
  <c r="E263" i="8"/>
  <c r="H107" i="8"/>
  <c r="H98" i="8"/>
  <c r="F108" i="8"/>
  <c r="H356" i="8"/>
  <c r="F266" i="8"/>
  <c r="E266" i="8"/>
  <c r="P266" i="8"/>
  <c r="F112" i="8"/>
  <c r="E112" i="8"/>
  <c r="H417" i="8"/>
  <c r="H416" i="8"/>
  <c r="H415" i="8"/>
  <c r="F417" i="8"/>
  <c r="F416" i="8"/>
  <c r="F415" i="8"/>
  <c r="H254" i="8"/>
  <c r="H253" i="8"/>
  <c r="H251" i="8"/>
  <c r="F414" i="8"/>
  <c r="E414" i="8"/>
  <c r="E412" i="8"/>
  <c r="K331" i="8"/>
  <c r="J331" i="8"/>
  <c r="P331" i="8"/>
  <c r="O378" i="8"/>
  <c r="J378" i="8"/>
  <c r="P378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3" i="8"/>
  <c r="O423" i="8"/>
  <c r="J423" i="8"/>
  <c r="K272" i="8"/>
  <c r="O272" i="8"/>
  <c r="J272" i="8"/>
  <c r="O270" i="8"/>
  <c r="K354" i="8"/>
  <c r="O354" i="8"/>
  <c r="J354" i="8"/>
  <c r="H162" i="8"/>
  <c r="E162" i="8"/>
  <c r="H419" i="8"/>
  <c r="H418" i="8"/>
  <c r="K247" i="8"/>
  <c r="O247" i="8"/>
  <c r="J247" i="8"/>
  <c r="P247" i="8"/>
  <c r="F183" i="8"/>
  <c r="F180" i="8"/>
  <c r="E180" i="8"/>
  <c r="P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3" i="8"/>
  <c r="O393" i="8"/>
  <c r="J393" i="8"/>
  <c r="P393" i="8"/>
  <c r="K353" i="8"/>
  <c r="O353" i="8"/>
  <c r="J353" i="8"/>
  <c r="P353" i="8"/>
  <c r="K402" i="8"/>
  <c r="O402" i="8"/>
  <c r="G264" i="8"/>
  <c r="F232" i="8"/>
  <c r="F230" i="8"/>
  <c r="E230" i="8"/>
  <c r="F25" i="8"/>
  <c r="E25" i="8"/>
  <c r="L327" i="8"/>
  <c r="M327" i="8"/>
  <c r="N327" i="8"/>
  <c r="O361" i="8"/>
  <c r="J361" i="8"/>
  <c r="P361" i="8"/>
  <c r="K362" i="8"/>
  <c r="O362" i="8"/>
  <c r="J362" i="8"/>
  <c r="P362" i="8"/>
  <c r="F327" i="8"/>
  <c r="F358" i="8"/>
  <c r="E358" i="8"/>
  <c r="O409" i="8"/>
  <c r="J409" i="8"/>
  <c r="O410" i="8"/>
  <c r="J410" i="8"/>
  <c r="P410" i="8"/>
  <c r="O411" i="8"/>
  <c r="J411" i="8"/>
  <c r="P411" i="8"/>
  <c r="P413" i="8"/>
  <c r="E357" i="8"/>
  <c r="E327" i="8"/>
  <c r="K326" i="8"/>
  <c r="F256" i="8"/>
  <c r="O357" i="8"/>
  <c r="J357" i="8"/>
  <c r="L326" i="8"/>
  <c r="M326" i="8"/>
  <c r="N326" i="8"/>
  <c r="G17" i="8"/>
  <c r="G16" i="8"/>
  <c r="G14" i="8"/>
  <c r="O59" i="8"/>
  <c r="J59" i="8"/>
  <c r="P59" i="8"/>
  <c r="E59" i="8"/>
  <c r="E242" i="8"/>
  <c r="E241" i="8"/>
  <c r="P241" i="8"/>
  <c r="G402" i="8"/>
  <c r="G401" i="8"/>
  <c r="G399" i="8"/>
  <c r="G416" i="8"/>
  <c r="G415" i="8"/>
  <c r="F402" i="8"/>
  <c r="E402" i="8"/>
  <c r="G108" i="8"/>
  <c r="G107" i="8"/>
  <c r="G98" i="8"/>
  <c r="H223" i="8"/>
  <c r="G223" i="8"/>
  <c r="F223" i="8"/>
  <c r="E223" i="8"/>
  <c r="H220" i="8"/>
  <c r="G220" i="8"/>
  <c r="F220" i="8"/>
  <c r="E220" i="8"/>
  <c r="P220" i="8"/>
  <c r="G96" i="8"/>
  <c r="F96" i="8"/>
  <c r="E96" i="8"/>
  <c r="O414" i="8"/>
  <c r="J414" i="8"/>
  <c r="P414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O344" i="8"/>
  <c r="J344" i="8"/>
  <c r="M51" i="8"/>
  <c r="M42" i="8"/>
  <c r="N51" i="8"/>
  <c r="N42" i="8"/>
  <c r="H334" i="8"/>
  <c r="H333" i="8"/>
  <c r="H323" i="8"/>
  <c r="F334" i="8"/>
  <c r="O341" i="8"/>
  <c r="J341" i="8"/>
  <c r="L333" i="8"/>
  <c r="L323" i="8"/>
  <c r="M333" i="8"/>
  <c r="M323" i="8"/>
  <c r="N333" i="8"/>
  <c r="N323" i="8"/>
  <c r="F398" i="8"/>
  <c r="E398" i="8"/>
  <c r="O296" i="8"/>
  <c r="O295" i="8"/>
  <c r="O293" i="8"/>
  <c r="K334" i="8"/>
  <c r="O334" i="8"/>
  <c r="J334" i="8"/>
  <c r="G333" i="8"/>
  <c r="G323" i="8"/>
  <c r="G425" i="8"/>
  <c r="F283" i="8"/>
  <c r="E283" i="8"/>
  <c r="K367" i="8"/>
  <c r="O367" i="8"/>
  <c r="J367" i="8"/>
  <c r="F27" i="8"/>
  <c r="E27" i="8"/>
  <c r="O332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398" i="8"/>
  <c r="J396" i="8"/>
  <c r="P396" i="8"/>
  <c r="O15" i="8"/>
  <c r="P15" i="8"/>
  <c r="J38" i="8"/>
  <c r="P38" i="8"/>
  <c r="I333" i="8"/>
  <c r="K295" i="8"/>
  <c r="K293" i="8"/>
  <c r="G289" i="8"/>
  <c r="E289" i="8"/>
  <c r="E287" i="8"/>
  <c r="P287" i="8"/>
  <c r="G295" i="8"/>
  <c r="G293" i="8"/>
  <c r="E296" i="8"/>
  <c r="O307" i="8"/>
  <c r="J307" i="8"/>
  <c r="P307" i="8"/>
  <c r="O121" i="8"/>
  <c r="J121" i="8"/>
  <c r="O125" i="8"/>
  <c r="J125" i="8"/>
  <c r="O133" i="8"/>
  <c r="J133" i="8"/>
  <c r="O142" i="8"/>
  <c r="J142" i="8"/>
  <c r="P142" i="8"/>
  <c r="O149" i="8"/>
  <c r="J149" i="8"/>
  <c r="L39" i="8"/>
  <c r="E121" i="8"/>
  <c r="P121" i="8"/>
  <c r="E125" i="8"/>
  <c r="E133" i="8"/>
  <c r="E142" i="8"/>
  <c r="E148" i="8"/>
  <c r="E151" i="8"/>
  <c r="P151" i="8"/>
  <c r="H289" i="8"/>
  <c r="O289" i="8"/>
  <c r="J289" i="8"/>
  <c r="P289" i="8"/>
  <c r="E255" i="8"/>
  <c r="E307" i="8"/>
  <c r="J73" i="8"/>
  <c r="O335" i="8"/>
  <c r="J335" i="8"/>
  <c r="I416" i="8"/>
  <c r="I415" i="8"/>
  <c r="K416" i="8"/>
  <c r="K415" i="8"/>
  <c r="L416" i="8"/>
  <c r="L415" i="8"/>
  <c r="M416" i="8"/>
  <c r="M415" i="8"/>
  <c r="N416" i="8"/>
  <c r="N415" i="8"/>
  <c r="O417" i="8"/>
  <c r="O416" i="8"/>
  <c r="O415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P280" i="8"/>
  <c r="J390" i="8"/>
  <c r="O267" i="8"/>
  <c r="E21" i="8"/>
  <c r="E23" i="8"/>
  <c r="E24" i="8"/>
  <c r="P24" i="8"/>
  <c r="J385" i="8"/>
  <c r="P385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2" i="8"/>
  <c r="J392" i="8"/>
  <c r="P392" i="8"/>
  <c r="O422" i="8"/>
  <c r="J422" i="8"/>
  <c r="P422" i="8"/>
  <c r="N419" i="8"/>
  <c r="N418" i="8"/>
  <c r="M419" i="8"/>
  <c r="M418" i="8"/>
  <c r="L419" i="8"/>
  <c r="L418" i="8"/>
  <c r="I419" i="8"/>
  <c r="I418" i="8"/>
  <c r="G419" i="8"/>
  <c r="G418" i="8"/>
  <c r="N412" i="8"/>
  <c r="M412" i="8"/>
  <c r="M408" i="8"/>
  <c r="L412" i="8"/>
  <c r="L401" i="8"/>
  <c r="L399" i="8"/>
  <c r="K412" i="8"/>
  <c r="O412" i="8"/>
  <c r="K408" i="8"/>
  <c r="I412" i="8"/>
  <c r="I401" i="8"/>
  <c r="I399" i="8"/>
  <c r="H412" i="8"/>
  <c r="H401" i="8"/>
  <c r="H399" i="8"/>
  <c r="E409" i="8"/>
  <c r="N408" i="8"/>
  <c r="L408" i="8"/>
  <c r="I408" i="8"/>
  <c r="E408" i="8"/>
  <c r="H408" i="8"/>
  <c r="O407" i="8"/>
  <c r="J407" i="8"/>
  <c r="E407" i="8"/>
  <c r="O406" i="8"/>
  <c r="J406" i="8"/>
  <c r="P406" i="8"/>
  <c r="O405" i="8"/>
  <c r="J405" i="8"/>
  <c r="E405" i="8"/>
  <c r="O404" i="8"/>
  <c r="J404" i="8"/>
  <c r="E404" i="8"/>
  <c r="K400" i="8"/>
  <c r="O400" i="8"/>
  <c r="J391" i="8"/>
  <c r="E391" i="8"/>
  <c r="E390" i="8"/>
  <c r="J389" i="8"/>
  <c r="E389" i="8"/>
  <c r="O388" i="8"/>
  <c r="J388" i="8"/>
  <c r="E388" i="8"/>
  <c r="O387" i="8"/>
  <c r="J387" i="8"/>
  <c r="E387" i="8"/>
  <c r="O384" i="8"/>
  <c r="J384" i="8"/>
  <c r="P384" i="8"/>
  <c r="E382" i="8"/>
  <c r="E381" i="8"/>
  <c r="E380" i="8"/>
  <c r="E379" i="8"/>
  <c r="O377" i="8"/>
  <c r="J377" i="8"/>
  <c r="E377" i="8"/>
  <c r="E376" i="8"/>
  <c r="O374" i="8"/>
  <c r="J374" i="8"/>
  <c r="E374" i="8"/>
  <c r="E373" i="8"/>
  <c r="O372" i="8"/>
  <c r="J372" i="8"/>
  <c r="E372" i="8"/>
  <c r="E371" i="8"/>
  <c r="N371" i="8"/>
  <c r="M371" i="8"/>
  <c r="M347" i="8"/>
  <c r="M369" i="8"/>
  <c r="M363" i="8"/>
  <c r="L371" i="8"/>
  <c r="I371" i="8"/>
  <c r="H371" i="8"/>
  <c r="G371" i="8"/>
  <c r="F371" i="8"/>
  <c r="O370" i="8"/>
  <c r="O369" i="8"/>
  <c r="E370" i="8"/>
  <c r="N369" i="8"/>
  <c r="L369" i="8"/>
  <c r="I369" i="8"/>
  <c r="H369" i="8"/>
  <c r="G369" i="8"/>
  <c r="F369" i="8"/>
  <c r="E368" i="8"/>
  <c r="E367" i="8"/>
  <c r="P367" i="8"/>
  <c r="O366" i="8"/>
  <c r="J366" i="8"/>
  <c r="E366" i="8"/>
  <c r="O365" i="8"/>
  <c r="J365" i="8"/>
  <c r="P365" i="8"/>
  <c r="O364" i="8"/>
  <c r="O325" i="8"/>
  <c r="O363" i="8"/>
  <c r="N363" i="8"/>
  <c r="L363" i="8"/>
  <c r="J363" i="8"/>
  <c r="E363" i="8"/>
  <c r="E360" i="8"/>
  <c r="O358" i="8"/>
  <c r="J358" i="8"/>
  <c r="L347" i="8"/>
  <c r="O347" i="8"/>
  <c r="J347" i="8"/>
  <c r="O349" i="8"/>
  <c r="J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E341" i="8"/>
  <c r="E339" i="8"/>
  <c r="P339" i="8"/>
  <c r="E337" i="8"/>
  <c r="E335" i="8"/>
  <c r="P335" i="8"/>
  <c r="O238" i="8"/>
  <c r="J238" i="8"/>
  <c r="P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4" i="8"/>
  <c r="O320" i="8"/>
  <c r="J320" i="8"/>
  <c r="P320" i="8"/>
  <c r="O319" i="8"/>
  <c r="J319" i="8"/>
  <c r="P319" i="8"/>
  <c r="O318" i="8"/>
  <c r="J318" i="8"/>
  <c r="P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59" i="8"/>
  <c r="O312" i="8"/>
  <c r="J312" i="8"/>
  <c r="E312" i="8"/>
  <c r="N311" i="8"/>
  <c r="I311" i="8"/>
  <c r="E311" i="8"/>
  <c r="E310" i="8"/>
  <c r="E309" i="8"/>
  <c r="P309" i="8"/>
  <c r="E308" i="8"/>
  <c r="E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P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P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J193" i="8"/>
  <c r="E193" i="8"/>
  <c r="J192" i="8"/>
  <c r="P192" i="8"/>
  <c r="E192" i="8"/>
  <c r="J191" i="8"/>
  <c r="E191" i="8"/>
  <c r="J190" i="8"/>
  <c r="E190" i="8"/>
  <c r="P190" i="8"/>
  <c r="J189" i="8"/>
  <c r="E189" i="8"/>
  <c r="J188" i="8"/>
  <c r="E188" i="8"/>
  <c r="J187" i="8"/>
  <c r="E187" i="8"/>
  <c r="P187" i="8"/>
  <c r="J186" i="8"/>
  <c r="E186" i="8"/>
  <c r="P186" i="8"/>
  <c r="J185" i="8"/>
  <c r="E185" i="8"/>
  <c r="P185" i="8"/>
  <c r="O184" i="8"/>
  <c r="I184" i="8"/>
  <c r="E184" i="8"/>
  <c r="J183" i="8"/>
  <c r="J182" i="8"/>
  <c r="E182" i="8"/>
  <c r="J181" i="8"/>
  <c r="E181" i="8"/>
  <c r="J180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E173" i="8"/>
  <c r="J172" i="8"/>
  <c r="P172" i="8"/>
  <c r="E172" i="8"/>
  <c r="J171" i="8"/>
  <c r="E171" i="8"/>
  <c r="O170" i="8"/>
  <c r="J170" i="8"/>
  <c r="I170" i="8"/>
  <c r="E170" i="8"/>
  <c r="J169" i="8"/>
  <c r="E169" i="8"/>
  <c r="J168" i="8"/>
  <c r="E168" i="8"/>
  <c r="J167" i="8"/>
  <c r="E167" i="8"/>
  <c r="J166" i="8"/>
  <c r="J163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O154" i="8"/>
  <c r="J154" i="8"/>
  <c r="E154" i="8"/>
  <c r="E153" i="8"/>
  <c r="O150" i="8"/>
  <c r="J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P130" i="8"/>
  <c r="E130" i="8"/>
  <c r="O129" i="8"/>
  <c r="J129" i="8"/>
  <c r="P129" i="8"/>
  <c r="E129" i="8"/>
  <c r="O128" i="8"/>
  <c r="J128" i="8"/>
  <c r="P128" i="8"/>
  <c r="E128" i="8"/>
  <c r="O127" i="8"/>
  <c r="J127" i="8"/>
  <c r="E127" i="8"/>
  <c r="N125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P118" i="8"/>
  <c r="E118" i="8"/>
  <c r="O117" i="8"/>
  <c r="J117" i="8"/>
  <c r="E117" i="8"/>
  <c r="O116" i="8"/>
  <c r="J116" i="8"/>
  <c r="E116" i="8"/>
  <c r="E114" i="8"/>
  <c r="J113" i="8"/>
  <c r="P113" i="8"/>
  <c r="P103" i="8"/>
  <c r="O103" i="8"/>
  <c r="E113" i="8"/>
  <c r="O112" i="8"/>
  <c r="J112" i="8"/>
  <c r="P112" i="8"/>
  <c r="O111" i="8"/>
  <c r="J111" i="8"/>
  <c r="E111" i="8"/>
  <c r="O110" i="8"/>
  <c r="J110" i="8"/>
  <c r="E110" i="8"/>
  <c r="P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P61" i="8"/>
  <c r="O60" i="8"/>
  <c r="O58" i="8"/>
  <c r="J58" i="8"/>
  <c r="P58" i="8"/>
  <c r="P45" i="8"/>
  <c r="O55" i="8"/>
  <c r="J55" i="8"/>
  <c r="E55" i="8"/>
  <c r="O54" i="8"/>
  <c r="J54" i="8"/>
  <c r="E54" i="8"/>
  <c r="O52" i="8"/>
  <c r="J52" i="8"/>
  <c r="P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E40" i="8"/>
  <c r="E39" i="8"/>
  <c r="O35" i="8"/>
  <c r="J35" i="8"/>
  <c r="P35" i="8"/>
  <c r="E35" i="8"/>
  <c r="O34" i="8"/>
  <c r="J34" i="8"/>
  <c r="O33" i="8"/>
  <c r="J33" i="8"/>
  <c r="P33" i="8"/>
  <c r="E33" i="8"/>
  <c r="E31" i="8"/>
  <c r="E30" i="8"/>
  <c r="O29" i="8"/>
  <c r="J29" i="8"/>
  <c r="E29" i="8"/>
  <c r="O28" i="8"/>
  <c r="J28" i="8"/>
  <c r="E28" i="8"/>
  <c r="O27" i="8"/>
  <c r="J27" i="8"/>
  <c r="P26" i="8"/>
  <c r="O25" i="8"/>
  <c r="J25" i="8"/>
  <c r="O23" i="8"/>
  <c r="J23" i="8"/>
  <c r="E22" i="8"/>
  <c r="P22" i="8"/>
  <c r="O21" i="8"/>
  <c r="J21" i="8"/>
  <c r="I16" i="8"/>
  <c r="I14" i="8"/>
  <c r="E20" i="8"/>
  <c r="J19" i="8"/>
  <c r="E19" i="8"/>
  <c r="J18" i="8"/>
  <c r="E18" i="8"/>
  <c r="F15" i="8"/>
  <c r="E15" i="8"/>
  <c r="E201" i="8"/>
  <c r="P201" i="8"/>
  <c r="E207" i="8"/>
  <c r="P207" i="8"/>
  <c r="E203" i="8"/>
  <c r="P203" i="8"/>
  <c r="J332" i="8"/>
  <c r="M16" i="8"/>
  <c r="M14" i="8"/>
  <c r="O239" i="8"/>
  <c r="J239" i="8"/>
  <c r="P239" i="8"/>
  <c r="N16" i="8"/>
  <c r="N14" i="8"/>
  <c r="O22" i="8"/>
  <c r="E254" i="8"/>
  <c r="P254" i="8"/>
  <c r="E108" i="8"/>
  <c r="I323" i="8"/>
  <c r="J400" i="8"/>
  <c r="P400" i="8"/>
  <c r="F295" i="8"/>
  <c r="F293" i="8"/>
  <c r="E315" i="8"/>
  <c r="E135" i="8"/>
  <c r="L51" i="8"/>
  <c r="L42" i="8"/>
  <c r="F67" i="8"/>
  <c r="E67" i="8"/>
  <c r="P67" i="8"/>
  <c r="E50" i="8"/>
  <c r="P50" i="8"/>
  <c r="E104" i="8"/>
  <c r="O53" i="8"/>
  <c r="J53" i="8"/>
  <c r="O326" i="8"/>
  <c r="O93" i="8"/>
  <c r="O48" i="8"/>
  <c r="J364" i="8"/>
  <c r="P364" i="8"/>
  <c r="E271" i="8"/>
  <c r="P390" i="8"/>
  <c r="J417" i="8"/>
  <c r="J416" i="8"/>
  <c r="J415" i="8"/>
  <c r="P194" i="8"/>
  <c r="F401" i="8"/>
  <c r="F399" i="8"/>
  <c r="L253" i="8"/>
  <c r="L251" i="8"/>
  <c r="J370" i="8"/>
  <c r="P370" i="8"/>
  <c r="J296" i="8"/>
  <c r="J295" i="8"/>
  <c r="J293" i="8"/>
  <c r="E95" i="8"/>
  <c r="G43" i="8"/>
  <c r="K419" i="8"/>
  <c r="K418" i="8"/>
  <c r="O381" i="8"/>
  <c r="J381" i="8"/>
  <c r="J224" i="8"/>
  <c r="P388" i="8"/>
  <c r="P164" i="8"/>
  <c r="J291" i="8"/>
  <c r="J267" i="8"/>
  <c r="H276" i="8"/>
  <c r="H274" i="8"/>
  <c r="E417" i="8"/>
  <c r="O102" i="8"/>
  <c r="O373" i="8"/>
  <c r="J373" i="8"/>
  <c r="P373" i="8"/>
  <c r="E334" i="8"/>
  <c r="P334" i="8"/>
  <c r="P236" i="8"/>
  <c r="G67" i="8"/>
  <c r="J37" i="8"/>
  <c r="P37" i="8"/>
  <c r="E45" i="8"/>
  <c r="P171" i="8"/>
  <c r="J265" i="8"/>
  <c r="N107" i="8"/>
  <c r="N98" i="8"/>
  <c r="O32" i="8"/>
  <c r="F253" i="8"/>
  <c r="F251" i="8"/>
  <c r="P322" i="8"/>
  <c r="N401" i="8"/>
  <c r="N399" i="8"/>
  <c r="E232" i="8"/>
  <c r="P232" i="8"/>
  <c r="O337" i="8"/>
  <c r="J337" i="8"/>
  <c r="P337" i="8"/>
  <c r="J342" i="8"/>
  <c r="P342" i="8"/>
  <c r="O329" i="8"/>
  <c r="J329" i="8"/>
  <c r="P329" i="8"/>
  <c r="O20" i="8"/>
  <c r="J20" i="8"/>
  <c r="P20" i="8"/>
  <c r="P97" i="8"/>
  <c r="E93" i="8"/>
  <c r="E48" i="8"/>
  <c r="O148" i="8"/>
  <c r="J153" i="8"/>
  <c r="E277" i="8"/>
  <c r="P277" i="8"/>
  <c r="J255" i="8"/>
  <c r="P255" i="8"/>
  <c r="P405" i="8"/>
  <c r="O408" i="8"/>
  <c r="F102" i="8"/>
  <c r="J114" i="8"/>
  <c r="P114" i="8"/>
  <c r="O222" i="8"/>
  <c r="J222" i="8"/>
  <c r="E102" i="8"/>
  <c r="P102" i="8"/>
  <c r="P176" i="8"/>
  <c r="P150" i="8"/>
  <c r="P94" i="8"/>
  <c r="J22" i="8"/>
  <c r="P23" i="8"/>
  <c r="E369" i="8"/>
  <c r="O371" i="8"/>
  <c r="J162" i="8"/>
  <c r="J179" i="8"/>
  <c r="O217" i="8"/>
  <c r="J217" i="8"/>
  <c r="P217" i="8"/>
  <c r="E423" i="8"/>
  <c r="E419" i="8"/>
  <c r="E418" i="8"/>
  <c r="J15" i="8"/>
  <c r="O95" i="8"/>
  <c r="P230" i="8"/>
  <c r="P299" i="8"/>
  <c r="P394" i="8"/>
  <c r="J379" i="8"/>
  <c r="J108" i="8"/>
  <c r="P108" i="8"/>
  <c r="K107" i="8"/>
  <c r="K98" i="8"/>
  <c r="J288" i="8"/>
  <c r="E386" i="8"/>
  <c r="J235" i="8"/>
  <c r="J234" i="8"/>
  <c r="P178" i="8"/>
  <c r="P127" i="8"/>
  <c r="J184" i="8"/>
  <c r="J294" i="8"/>
  <c r="J369" i="8"/>
  <c r="P132" i="8"/>
  <c r="P167" i="8"/>
  <c r="P182" i="8"/>
  <c r="P398" i="8"/>
  <c r="E109" i="8"/>
  <c r="J57" i="8"/>
  <c r="P54" i="8"/>
  <c r="P193" i="8"/>
  <c r="P204" i="8"/>
  <c r="P81" i="8"/>
  <c r="P296" i="8"/>
  <c r="P295" i="8"/>
  <c r="P221" i="8"/>
  <c r="K329" i="8"/>
  <c r="E183" i="8"/>
  <c r="P352" i="8"/>
  <c r="P288" i="8"/>
  <c r="P275" i="8"/>
  <c r="J275" i="8"/>
  <c r="P374" i="8"/>
  <c r="P308" i="8"/>
  <c r="J95" i="8"/>
  <c r="J49" i="8"/>
  <c r="P169" i="8"/>
  <c r="P234" i="8"/>
  <c r="P133" i="8"/>
  <c r="P75" i="8"/>
  <c r="K262" i="8"/>
  <c r="K260" i="8"/>
  <c r="O331" i="8"/>
  <c r="J325" i="8"/>
  <c r="P325" i="8"/>
  <c r="F43" i="8"/>
  <c r="E43" i="8"/>
  <c r="P43" i="8"/>
  <c r="P80" i="8"/>
  <c r="P170" i="8"/>
  <c r="P250" i="8"/>
  <c r="N276" i="8"/>
  <c r="N274" i="8"/>
  <c r="J77" i="8"/>
  <c r="P272" i="8"/>
  <c r="P291" i="8"/>
  <c r="O159" i="8"/>
  <c r="K16" i="8"/>
  <c r="K14" i="8"/>
  <c r="J99" i="8"/>
  <c r="P163" i="8"/>
  <c r="P143" i="8"/>
  <c r="F107" i="8"/>
  <c r="F98" i="8"/>
  <c r="H262" i="8"/>
  <c r="H260" i="8"/>
  <c r="P369" i="8"/>
  <c r="P19" i="8"/>
  <c r="P29" i="8"/>
  <c r="P68" i="8"/>
  <c r="P154" i="8"/>
  <c r="P198" i="8"/>
  <c r="P202" i="8"/>
  <c r="P269" i="8"/>
  <c r="P278" i="8"/>
  <c r="P341" i="8"/>
  <c r="J44" i="8"/>
  <c r="P44" i="8"/>
  <c r="P125" i="8"/>
  <c r="P359" i="8"/>
  <c r="H51" i="8"/>
  <c r="H42" i="8"/>
  <c r="P242" i="8"/>
  <c r="O99" i="8"/>
  <c r="P135" i="8"/>
  <c r="E99" i="8"/>
  <c r="P99" i="8"/>
  <c r="P184" i="8"/>
  <c r="P294" i="8"/>
  <c r="P96" i="8"/>
  <c r="P25" i="8"/>
  <c r="H161" i="8"/>
  <c r="H156" i="8"/>
  <c r="P368" i="8"/>
  <c r="P117" i="8"/>
  <c r="P168" i="8"/>
  <c r="P191" i="8"/>
  <c r="P199" i="8"/>
  <c r="M276" i="8"/>
  <c r="M274" i="8"/>
  <c r="P348" i="8"/>
  <c r="P407" i="8"/>
  <c r="P354" i="8"/>
  <c r="K90" i="8"/>
  <c r="K51" i="8"/>
  <c r="K42" i="8"/>
  <c r="K159" i="8"/>
  <c r="E49" i="8"/>
  <c r="P188" i="8"/>
  <c r="P389" i="8"/>
  <c r="P85" i="8"/>
  <c r="P149" i="8"/>
  <c r="J256" i="8"/>
  <c r="J253" i="8"/>
  <c r="J251" i="8"/>
  <c r="P224" i="8"/>
  <c r="E107" i="8"/>
  <c r="E98" i="8"/>
  <c r="P144" i="8"/>
  <c r="P34" i="8"/>
  <c r="P377" i="8"/>
  <c r="J326" i="8"/>
  <c r="P357" i="8"/>
  <c r="P326" i="8"/>
  <c r="O419" i="8"/>
  <c r="O418" i="8"/>
  <c r="J420" i="8"/>
  <c r="J419" i="8"/>
  <c r="J418" i="8"/>
  <c r="J402" i="8"/>
  <c r="P402" i="8"/>
  <c r="J161" i="8"/>
  <c r="J156" i="8"/>
  <c r="F105" i="8"/>
  <c r="E105" i="8"/>
  <c r="P105" i="8"/>
  <c r="E138" i="8"/>
  <c r="P138" i="8"/>
  <c r="J249" i="8"/>
  <c r="J160" i="8"/>
  <c r="P248" i="8"/>
  <c r="P249" i="8"/>
  <c r="P160" i="8"/>
  <c r="P346" i="8"/>
  <c r="O290" i="8"/>
  <c r="O285" i="8"/>
  <c r="J285" i="8"/>
  <c r="P139" i="8"/>
  <c r="P181" i="8"/>
  <c r="O253" i="8"/>
  <c r="O251" i="8"/>
  <c r="P311" i="8"/>
  <c r="P332" i="8"/>
  <c r="J371" i="8"/>
  <c r="P371" i="8"/>
  <c r="P372" i="8"/>
  <c r="O375" i="8"/>
  <c r="E290" i="8"/>
  <c r="P115" i="8"/>
  <c r="G51" i="8"/>
  <c r="G42" i="8"/>
  <c r="O327" i="8"/>
  <c r="J148" i="8"/>
  <c r="P148" i="8"/>
  <c r="E262" i="8"/>
  <c r="E260" i="8"/>
  <c r="P315" i="8"/>
  <c r="P189" i="8"/>
  <c r="P196" i="8"/>
  <c r="P302" i="8"/>
  <c r="P321" i="8"/>
  <c r="M401" i="8"/>
  <c r="M399" i="8"/>
  <c r="M425" i="8"/>
  <c r="P82" i="8"/>
  <c r="F161" i="8"/>
  <c r="E161" i="8"/>
  <c r="P162" i="8"/>
  <c r="O158" i="8"/>
  <c r="P53" i="8"/>
  <c r="P166" i="8"/>
  <c r="P79" i="8"/>
  <c r="P240" i="8"/>
  <c r="J282" i="8"/>
  <c r="O383" i="8"/>
  <c r="P27" i="8"/>
  <c r="P126" i="8"/>
  <c r="P86" i="8"/>
  <c r="G161" i="8"/>
  <c r="G156" i="8"/>
  <c r="P175" i="8"/>
  <c r="P222" i="8"/>
  <c r="P310" i="8"/>
  <c r="P92" i="8"/>
  <c r="E256" i="8"/>
  <c r="F262" i="8"/>
  <c r="F260" i="8"/>
  <c r="G262" i="8"/>
  <c r="G260" i="8"/>
  <c r="E179" i="8"/>
  <c r="P62" i="8"/>
  <c r="P91" i="8"/>
  <c r="P131" i="8"/>
  <c r="N295" i="8"/>
  <c r="N293" i="8"/>
  <c r="N425" i="8"/>
  <c r="P74" i="8"/>
  <c r="P183" i="8"/>
  <c r="P179" i="8"/>
  <c r="E276" i="8"/>
  <c r="E274" i="8"/>
  <c r="P267" i="8"/>
  <c r="P55" i="8"/>
  <c r="P387" i="8"/>
  <c r="P424" i="8"/>
  <c r="F16" i="8"/>
  <c r="F14" i="8"/>
  <c r="J290" i="8"/>
  <c r="P18" i="8"/>
  <c r="P111" i="8"/>
  <c r="P116" i="8"/>
  <c r="P145" i="8"/>
  <c r="P237" i="8"/>
  <c r="P366" i="8"/>
  <c r="P391" i="8"/>
  <c r="P283" i="8"/>
  <c r="F419" i="8"/>
  <c r="F418" i="8"/>
  <c r="P90" i="8"/>
  <c r="P246" i="8"/>
  <c r="E157" i="8"/>
  <c r="P157" i="8"/>
  <c r="P347" i="8"/>
  <c r="J39" i="8"/>
  <c r="P39" i="8"/>
  <c r="L16" i="8"/>
  <c r="L14" i="8"/>
  <c r="P282" i="8"/>
  <c r="E401" i="8"/>
  <c r="E399" i="8"/>
  <c r="E16" i="8"/>
  <c r="E14" i="8"/>
  <c r="P409" i="8"/>
  <c r="J408" i="8"/>
  <c r="P408" i="8"/>
  <c r="E333" i="8"/>
  <c r="O101" i="8"/>
  <c r="J101" i="8"/>
  <c r="P101" i="8"/>
  <c r="J104" i="8"/>
  <c r="P104" i="8"/>
  <c r="P21" i="8"/>
  <c r="J60" i="8"/>
  <c r="P60" i="8"/>
  <c r="J17" i="8"/>
  <c r="J412" i="8"/>
  <c r="P412" i="8"/>
  <c r="O356" i="8"/>
  <c r="J356" i="8"/>
  <c r="P356" i="8"/>
  <c r="E416" i="8"/>
  <c r="E415" i="8"/>
  <c r="P417" i="8"/>
  <c r="P416" i="8"/>
  <c r="P415" i="8"/>
  <c r="J327" i="8"/>
  <c r="P381" i="8"/>
  <c r="P327" i="8"/>
  <c r="O76" i="8"/>
  <c r="J76" i="8"/>
  <c r="P76" i="8"/>
  <c r="O107" i="8"/>
  <c r="O98" i="8"/>
  <c r="O425" i="8"/>
  <c r="P265" i="8"/>
  <c r="P261" i="8"/>
  <c r="J261" i="8"/>
  <c r="P314" i="8"/>
  <c r="P379" i="8"/>
  <c r="J270" i="8"/>
  <c r="J262" i="8"/>
  <c r="O262" i="8"/>
  <c r="O260" i="8"/>
  <c r="J51" i="8"/>
  <c r="J42" i="8"/>
  <c r="P235" i="8"/>
  <c r="E298" i="8"/>
  <c r="I295" i="8"/>
  <c r="I293" i="8"/>
  <c r="I425" i="8"/>
  <c r="P304" i="8"/>
  <c r="J93" i="8"/>
  <c r="P292" i="8"/>
  <c r="P28" i="8"/>
  <c r="F333" i="8"/>
  <c r="F323" i="8"/>
  <c r="P83" i="8"/>
  <c r="O161" i="8"/>
  <c r="O156" i="8"/>
  <c r="L276" i="8"/>
  <c r="L274" i="8"/>
  <c r="P173" i="8"/>
  <c r="P195" i="8"/>
  <c r="J279" i="8"/>
  <c r="P279" i="8"/>
  <c r="P358" i="8"/>
  <c r="P77" i="8"/>
  <c r="P227" i="8"/>
  <c r="P245" i="8"/>
  <c r="P153" i="8"/>
  <c r="F276" i="8"/>
  <c r="F274" i="8"/>
  <c r="K161" i="8"/>
  <c r="K156" i="8"/>
  <c r="P306" i="8"/>
  <c r="P71" i="8"/>
  <c r="P226" i="8"/>
  <c r="P264" i="8"/>
  <c r="P349" i="8"/>
  <c r="P363" i="8"/>
  <c r="P281" i="8"/>
  <c r="G276" i="8"/>
  <c r="G274" i="8"/>
  <c r="P95" i="8"/>
  <c r="P49" i="8"/>
  <c r="P256" i="8"/>
  <c r="P253" i="8"/>
  <c r="P420" i="8"/>
  <c r="O330" i="8"/>
  <c r="J375" i="8"/>
  <c r="L425" i="8"/>
  <c r="F156" i="8"/>
  <c r="E253" i="8"/>
  <c r="E251" i="8"/>
  <c r="P251" i="8"/>
  <c r="O328" i="8"/>
  <c r="J383" i="8"/>
  <c r="P290" i="8"/>
  <c r="O51" i="8"/>
  <c r="O42" i="8"/>
  <c r="E323" i="8"/>
  <c r="E156" i="8"/>
  <c r="P161" i="8"/>
  <c r="P156" i="8"/>
  <c r="J48" i="8"/>
  <c r="P93" i="8"/>
  <c r="P48" i="8"/>
  <c r="P298" i="8"/>
  <c r="E295" i="8"/>
  <c r="E293" i="8"/>
  <c r="P293" i="8"/>
  <c r="P17" i="8"/>
  <c r="P383" i="8"/>
  <c r="J328" i="8"/>
  <c r="P328" i="8"/>
  <c r="P375" i="8"/>
  <c r="J330" i="8"/>
  <c r="P330" i="8"/>
  <c r="P109" i="8"/>
  <c r="P107" i="8"/>
  <c r="P57" i="8"/>
  <c r="F51" i="8"/>
  <c r="F42" i="8"/>
  <c r="K401" i="8"/>
  <c r="K399" i="8"/>
  <c r="J41" i="8"/>
  <c r="J32" i="8"/>
  <c r="P32" i="8"/>
  <c r="K333" i="8"/>
  <c r="K323" i="8"/>
  <c r="O284" i="8"/>
  <c r="K276" i="8"/>
  <c r="K274" i="8"/>
  <c r="J16" i="8"/>
  <c r="J14" i="8"/>
  <c r="P51" i="8"/>
  <c r="P42" i="8"/>
  <c r="H425" i="8"/>
  <c r="F425" i="8"/>
  <c r="J401" i="8"/>
  <c r="J399" i="8"/>
  <c r="P399" i="8"/>
  <c r="P404" i="8"/>
  <c r="P401" i="8"/>
  <c r="O401" i="8"/>
  <c r="O399" i="8"/>
  <c r="P270" i="8"/>
  <c r="P41" i="8"/>
  <c r="P16" i="8"/>
  <c r="P14" i="8"/>
  <c r="O16" i="8"/>
  <c r="O14" i="8"/>
  <c r="O30" i="8"/>
  <c r="P262" i="8"/>
  <c r="J260" i="8"/>
  <c r="P260" i="8"/>
  <c r="P285" i="8"/>
  <c r="P276" i="8"/>
  <c r="P274" i="8"/>
  <c r="J276" i="8"/>
  <c r="J274" i="8"/>
  <c r="J284" i="8"/>
  <c r="P284" i="8"/>
  <c r="O276" i="8"/>
  <c r="O274" i="8"/>
  <c r="K425" i="8"/>
  <c r="K431" i="8"/>
  <c r="K433" i="8"/>
  <c r="J360" i="8"/>
  <c r="P360" i="8"/>
  <c r="O333" i="8"/>
  <c r="O323" i="8"/>
  <c r="J333" i="8"/>
  <c r="J323" i="8"/>
  <c r="P323" i="8"/>
  <c r="P344" i="8"/>
  <c r="P423" i="8"/>
  <c r="P419" i="8"/>
  <c r="P418" i="8"/>
  <c r="E425" i="8"/>
  <c r="O40" i="8"/>
  <c r="J40" i="8"/>
  <c r="P40" i="8"/>
  <c r="J30" i="8"/>
  <c r="P30" i="8"/>
  <c r="P333" i="8"/>
  <c r="P434" i="8"/>
  <c r="K434" i="8"/>
  <c r="E438" i="8"/>
  <c r="E439" i="8"/>
  <c r="E431" i="8"/>
  <c r="E433" i="8"/>
  <c r="E435" i="8"/>
  <c r="J425" i="8"/>
  <c r="J431" i="8"/>
  <c r="J433" i="8"/>
  <c r="J435" i="8"/>
  <c r="P98" i="8"/>
  <c r="P425" i="8"/>
  <c r="P431" i="8"/>
  <c r="P433" i="8"/>
  <c r="P435" i="8"/>
  <c r="K435" i="8"/>
</calcChain>
</file>

<file path=xl/sharedStrings.xml><?xml version="1.0" encoding="utf-8"?>
<sst xmlns="http://schemas.openxmlformats.org/spreadsheetml/2006/main" count="1088" uniqueCount="704">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</sst>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08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O21">
            <v>-1377500</v>
          </cell>
          <cell r="P21">
            <v>-1377500</v>
          </cell>
          <cell r="Q21">
            <v>17822500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1"/>
  <sheetViews>
    <sheetView tabSelected="1" topLeftCell="A9" zoomScaleNormal="100" zoomScaleSheetLayoutView="100" workbookViewId="0">
      <pane xSplit="4" ySplit="5" topLeftCell="E292" activePane="bottomRight" state="frozen"/>
      <selection activeCell="A9" sqref="A9"/>
      <selection pane="topRight" activeCell="E9" sqref="E9"/>
      <selection pane="bottomLeft" activeCell="A14" sqref="A14"/>
      <selection pane="bottomRight" activeCell="D450" sqref="D450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2" t="s">
        <v>141</v>
      </c>
      <c r="O2" s="112"/>
      <c r="P2" s="112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2"/>
      <c r="O4" s="112"/>
      <c r="P4" s="112"/>
    </row>
    <row r="5" spans="1:18" ht="17.25" x14ac:dyDescent="0.25">
      <c r="C5" s="113" t="s">
        <v>638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8" ht="17.25" x14ac:dyDescent="0.25">
      <c r="A6" s="90" t="s">
        <v>631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05" t="s">
        <v>570</v>
      </c>
      <c r="B9" s="106" t="s">
        <v>571</v>
      </c>
      <c r="C9" s="107" t="s">
        <v>572</v>
      </c>
      <c r="D9" s="108" t="s">
        <v>573</v>
      </c>
      <c r="E9" s="109" t="s">
        <v>154</v>
      </c>
      <c r="F9" s="109"/>
      <c r="G9" s="109"/>
      <c r="H9" s="109"/>
      <c r="I9" s="109"/>
      <c r="J9" s="109" t="s">
        <v>155</v>
      </c>
      <c r="K9" s="109"/>
      <c r="L9" s="109"/>
      <c r="M9" s="109"/>
      <c r="N9" s="109"/>
      <c r="O9" s="109"/>
      <c r="P9" s="109" t="s">
        <v>156</v>
      </c>
    </row>
    <row r="10" spans="1:18" ht="22.5" customHeight="1" x14ac:dyDescent="0.2">
      <c r="A10" s="105"/>
      <c r="B10" s="106"/>
      <c r="C10" s="107"/>
      <c r="D10" s="108"/>
      <c r="E10" s="111" t="s">
        <v>574</v>
      </c>
      <c r="F10" s="116" t="s">
        <v>157</v>
      </c>
      <c r="G10" s="111" t="s">
        <v>158</v>
      </c>
      <c r="H10" s="111"/>
      <c r="I10" s="111" t="s">
        <v>159</v>
      </c>
      <c r="J10" s="110" t="s">
        <v>575</v>
      </c>
      <c r="K10" s="110" t="s">
        <v>576</v>
      </c>
      <c r="L10" s="111" t="s">
        <v>157</v>
      </c>
      <c r="M10" s="111" t="s">
        <v>158</v>
      </c>
      <c r="N10" s="111"/>
      <c r="O10" s="111" t="s">
        <v>159</v>
      </c>
      <c r="P10" s="109"/>
    </row>
    <row r="11" spans="1:18" ht="21.75" customHeight="1" x14ac:dyDescent="0.2">
      <c r="A11" s="105"/>
      <c r="B11" s="106"/>
      <c r="C11" s="107"/>
      <c r="D11" s="108"/>
      <c r="E11" s="111"/>
      <c r="F11" s="116"/>
      <c r="G11" s="111" t="s">
        <v>160</v>
      </c>
      <c r="H11" s="111" t="s">
        <v>161</v>
      </c>
      <c r="I11" s="111"/>
      <c r="J11" s="110"/>
      <c r="K11" s="110"/>
      <c r="L11" s="111"/>
      <c r="M11" s="111" t="s">
        <v>160</v>
      </c>
      <c r="N11" s="111" t="s">
        <v>161</v>
      </c>
      <c r="O11" s="111"/>
      <c r="P11" s="109"/>
    </row>
    <row r="12" spans="1:18" ht="31.5" customHeight="1" x14ac:dyDescent="0.2">
      <c r="A12" s="105"/>
      <c r="B12" s="106"/>
      <c r="C12" s="107"/>
      <c r="D12" s="108"/>
      <c r="E12" s="111"/>
      <c r="F12" s="116"/>
      <c r="G12" s="111"/>
      <c r="H12" s="111"/>
      <c r="I12" s="111"/>
      <c r="J12" s="110"/>
      <c r="K12" s="110"/>
      <c r="L12" s="111"/>
      <c r="M12" s="111"/>
      <c r="N12" s="111"/>
      <c r="O12" s="111"/>
      <c r="P12" s="109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38690500</v>
      </c>
      <c r="H14" s="11">
        <f t="shared" si="0"/>
        <v>1573400</v>
      </c>
      <c r="I14" s="11">
        <f t="shared" si="0"/>
        <v>0</v>
      </c>
      <c r="J14" s="11">
        <f>J16</f>
        <v>5153618</v>
      </c>
      <c r="K14" s="11">
        <f>K16</f>
        <v>2850818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3196118</v>
      </c>
      <c r="P14" s="11">
        <f t="shared" si="0"/>
        <v>70508369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38690500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5153618</v>
      </c>
      <c r="K16" s="52">
        <f>K17+K20+K41+K22+K25+K29+K27+K34+K35+K39+K30+K33+K18+K37+K32+K23</f>
        <v>2850818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3196118</v>
      </c>
      <c r="P16" s="52">
        <f>P17+P25+P27+P29+P31+P32+P34+P37+P39+P41+P23</f>
        <v>70508369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</f>
        <v>38690500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891600</v>
      </c>
      <c r="K30" s="9"/>
      <c r="L30" s="9"/>
      <c r="M30" s="9"/>
      <c r="N30" s="9"/>
      <c r="O30" s="9">
        <f>O31+O32</f>
        <v>891600</v>
      </c>
      <c r="P30" s="11">
        <f t="shared" si="2"/>
        <v>891600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546300</v>
      </c>
      <c r="K32" s="9">
        <f>34300+39200+158000+330000-15200</f>
        <v>546300</v>
      </c>
      <c r="L32" s="9"/>
      <c r="M32" s="9"/>
      <c r="N32" s="9"/>
      <c r="O32" s="9">
        <f>K32</f>
        <v>546300</v>
      </c>
      <c r="P32" s="11">
        <f t="shared" si="2"/>
        <v>8085150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891600</v>
      </c>
      <c r="K40" s="8"/>
      <c r="L40" s="8"/>
      <c r="M40" s="8"/>
      <c r="N40" s="8"/>
      <c r="O40" s="9">
        <f>O30</f>
        <v>891600</v>
      </c>
      <c r="P40" s="11">
        <f t="shared" si="2"/>
        <v>891600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700000</v>
      </c>
      <c r="K41" s="9">
        <f>700000</f>
        <v>700000</v>
      </c>
      <c r="L41" s="9"/>
      <c r="M41" s="9"/>
      <c r="N41" s="9"/>
      <c r="O41" s="55">
        <f>K41</f>
        <v>700000</v>
      </c>
      <c r="P41" s="11">
        <f t="shared" si="2"/>
        <v>3142300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565260815</v>
      </c>
      <c r="F42" s="22">
        <f t="shared" ref="F42:P42" si="6">F51</f>
        <v>565260815</v>
      </c>
      <c r="G42" s="22">
        <f t="shared" si="6"/>
        <v>398288835</v>
      </c>
      <c r="H42" s="22">
        <f t="shared" si="6"/>
        <v>51827497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619331900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565260815</v>
      </c>
      <c r="F51" s="22">
        <f>F52+F53+F57+F60+F69+F70+F77+F79+F83+F86+F88+F89+F94+F76+F96+F92+F90+F74</f>
        <v>565260815</v>
      </c>
      <c r="G51" s="22">
        <f>G52+G53+G57+G60+G69+G70+G77+G79+G83+G86+G88+G89+G94+G76+G96+G92+G90</f>
        <v>398288835</v>
      </c>
      <c r="H51" s="22">
        <f>H52+H53+H57+H60+H69+H70+H77+H79+H83+H86+H88+H89+H94</f>
        <v>51827497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619331900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2454200</v>
      </c>
      <c r="F52" s="10">
        <f>2354100+28000+72100</f>
        <v>2454200</v>
      </c>
      <c r="G52" s="10">
        <f>1885200+52000</f>
        <v>1937200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2471600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187616196</v>
      </c>
      <c r="F53" s="10">
        <f>192686621+380000+850000-865000-408000-12900+363600+186275-25000+240000-329400-50000-5400000</f>
        <v>187616196</v>
      </c>
      <c r="G53" s="10">
        <f>125949300-820000-82400-20500-68000-270000</f>
        <v>124688400</v>
      </c>
      <c r="H53" s="10">
        <f>18317400+1490000+524000+2700000-350000-20000+2141000+380000+850000+65000+363600-5400000</f>
        <v>21061000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211110660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76996247</v>
      </c>
      <c r="F57" s="10">
        <f>73654297+1175000-400000+1650000-310000+1108000+1113930+356620+1700+347300-240000-60600-1400000</f>
        <v>76996247</v>
      </c>
      <c r="G57" s="10">
        <f>32632800+1020000+532500+303100+214700-50000</f>
        <v>34653100</v>
      </c>
      <c r="H57" s="10">
        <f>24903067-100000-1500000-733000+300000+10000+3010300+1175000-400000+1650000-310000+1113930-205500-143000-1400000</f>
        <v>27370797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84653854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</f>
        <v>4605837</v>
      </c>
      <c r="G76" s="8">
        <f>819670+1004784+381150</f>
        <v>2205604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24939899</v>
      </c>
      <c r="F77" s="10">
        <f>23248900-208681+10000+46000+115000+830000+512200+265000-114620+236100</f>
        <v>24939899</v>
      </c>
      <c r="G77" s="10">
        <f>17026170-171000+580000+13900+22000</f>
        <v>17471070</v>
      </c>
      <c r="H77" s="10">
        <f>1217000+100000+10000+115000+512200+265000+209900</f>
        <v>2429100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27490184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11765400</v>
      </c>
      <c r="F83" s="10">
        <f>11399000+17000+144000+43200+70000+148000-105800+50000</f>
        <v>11765400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11890600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207700</v>
      </c>
      <c r="F88" s="9">
        <f>285700+13000-91000</f>
        <v>207700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207700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46222296</v>
      </c>
      <c r="F98" s="22">
        <f t="shared" ref="F98:O98" si="14">F107</f>
        <v>46222296</v>
      </c>
      <c r="G98" s="22">
        <f t="shared" si="14"/>
        <v>1939700</v>
      </c>
      <c r="H98" s="22">
        <f t="shared" si="14"/>
        <v>157700</v>
      </c>
      <c r="I98" s="22">
        <f t="shared" si="14"/>
        <v>0</v>
      </c>
      <c r="J98" s="22">
        <f t="shared" si="14"/>
        <v>15564214</v>
      </c>
      <c r="K98" s="22">
        <f>K107</f>
        <v>10564557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15455557</v>
      </c>
      <c r="P98" s="11">
        <f t="shared" si="11"/>
        <v>61786510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46222296</v>
      </c>
      <c r="F107" s="15">
        <f>F108+F109+F115+F121+F125+F133+F142+F148+F143+F144+F126+F135+F151</f>
        <v>46222296</v>
      </c>
      <c r="G107" s="15">
        <f>G108+G109+G115+G121+G125+G133+G142+G148+G143+G144+G126</f>
        <v>1939700</v>
      </c>
      <c r="H107" s="15">
        <f>H108+H109+H115+H121+H125+H133+H142+H148+H143+H144+H126</f>
        <v>157700</v>
      </c>
      <c r="I107" s="15">
        <f>I108+I109+I115+I121+I125+I133+I142+I148+I143+I144+I126</f>
        <v>0</v>
      </c>
      <c r="J107" s="15">
        <f>J108+J109+J115+J121+J125+J133+J142+J148+J143+J126</f>
        <v>15564214</v>
      </c>
      <c r="K107" s="15">
        <f>K108+K109+K115+K121+K125+K133+K142+K148+K153+K126+K143</f>
        <v>10564557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15455557</v>
      </c>
      <c r="P107" s="15">
        <f>P108+P109+P115+P121+P125+P133+P142+P148+P135+P143+P144+P126+P151</f>
        <v>61786510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34000+124700-1000</f>
        <v>157700</v>
      </c>
      <c r="I108" s="10"/>
      <c r="J108" s="9">
        <f t="shared" ref="J108:J154" si="16">L108+O108</f>
        <v>8582000</v>
      </c>
      <c r="K108" s="10">
        <f>45000+46000+3600000-221800+221800</f>
        <v>3691000</v>
      </c>
      <c r="L108" s="10"/>
      <c r="M108" s="10"/>
      <c r="N108" s="10"/>
      <c r="O108" s="10">
        <f>K108+4891000</f>
        <v>8582000</v>
      </c>
      <c r="P108" s="11">
        <f t="shared" si="11"/>
        <v>11273400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2234100</v>
      </c>
      <c r="K109" s="10">
        <f>1400000+205000+37300+360000+221800+4891000+10000-4891000</f>
        <v>2234100</v>
      </c>
      <c r="L109" s="10"/>
      <c r="M109" s="10"/>
      <c r="N109" s="10"/>
      <c r="O109" s="10">
        <f>K109</f>
        <v>2234100</v>
      </c>
      <c r="P109" s="11">
        <f t="shared" si="11"/>
        <v>11290831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/>
      <c r="L113" s="10"/>
      <c r="M113" s="10"/>
      <c r="N113" s="10"/>
      <c r="O113" s="10">
        <v>4891000</v>
      </c>
      <c r="P113" s="11">
        <f t="shared" si="11"/>
        <v>4891000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5735480</v>
      </c>
      <c r="F144" s="10">
        <f>5051900-7620+250000+195900-49000-5700+300000</f>
        <v>5735480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5735480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1162000+347197+46000-50000-19400+9700+12500</f>
        <v>1507997</v>
      </c>
      <c r="L153" s="10"/>
      <c r="M153" s="10"/>
      <c r="N153" s="10"/>
      <c r="O153" s="10">
        <f>K153</f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55096204</v>
      </c>
      <c r="F260" s="22">
        <f t="shared" ref="F260:O260" si="44">F262</f>
        <v>55096204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7792596</v>
      </c>
      <c r="K260" s="22">
        <f>K262</f>
        <v>4608196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4608196</v>
      </c>
      <c r="P260" s="11">
        <f t="shared" si="42"/>
        <v>62888800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55096204</v>
      </c>
      <c r="F262" s="22">
        <f>F263+F264+F267+F269+F270+F272+F273+F266</f>
        <v>55096204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7792596</v>
      </c>
      <c r="K262" s="22">
        <f t="shared" si="46"/>
        <v>4608196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4608196</v>
      </c>
      <c r="P262" s="11">
        <f t="shared" si="42"/>
        <v>62888800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5091900</v>
      </c>
      <c r="K270" s="10">
        <f>4000000-17000+420000-16900-156200</f>
        <v>4229900</v>
      </c>
      <c r="L270" s="10">
        <v>862000</v>
      </c>
      <c r="M270" s="10">
        <v>145000</v>
      </c>
      <c r="N270" s="10"/>
      <c r="O270" s="10">
        <f t="shared" si="49"/>
        <v>4229900</v>
      </c>
      <c r="P270" s="11">
        <f t="shared" si="42"/>
        <v>16182900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4040000</v>
      </c>
      <c r="F273" s="10">
        <f>3190000+230000+30000+300000+200000+90000</f>
        <v>4040000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4040000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3271157</v>
      </c>
      <c r="K274" s="22">
        <f>K276</f>
        <v>2456457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2456457</v>
      </c>
      <c r="P274" s="22">
        <f t="shared" si="50"/>
        <v>36036357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3271157</v>
      </c>
      <c r="K276" s="22">
        <f>K277+K278+K279+K284+K287+K282+K290+K289+K292+K291</f>
        <v>2456457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2456457</v>
      </c>
      <c r="P276" s="22">
        <f>P277+P280+P281+P283+P285+P289+P291+P292</f>
        <v>36036357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2550057</v>
      </c>
      <c r="K284" s="10">
        <f>SUM(K285)</f>
        <v>1804757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1804757</v>
      </c>
      <c r="P284" s="11">
        <f t="shared" si="54"/>
        <v>2550057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2550057</v>
      </c>
      <c r="K285" s="10">
        <f>2450000+368800-194800+175757-790600-204400</f>
        <v>1804757</v>
      </c>
      <c r="L285" s="10">
        <v>745300</v>
      </c>
      <c r="M285" s="10">
        <v>43700</v>
      </c>
      <c r="N285" s="10">
        <v>119100</v>
      </c>
      <c r="O285" s="10">
        <f t="shared" si="53"/>
        <v>1804757</v>
      </c>
      <c r="P285" s="11">
        <f t="shared" si="54"/>
        <v>20722757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E296+E297+E298+E307+E308+E359+E304+E314+E393+E319+E320+E394+E311+E310+E321+E306+E322+E315+E301</f>
        <v>0</v>
      </c>
      <c r="F295" s="33">
        <f>F296+F297+F298+F307+F308+F359+F304+F314+F393+F319+F320+F394+F311+F310+F321+F306+F322+F315+F301</f>
        <v>0</v>
      </c>
      <c r="G295" s="22">
        <f>G296+G297+G298+G307+G308+G359+G304+G314+G393+G319+G320+G394+G311+G310+G321+G306+G322+G315</f>
        <v>0</v>
      </c>
      <c r="H295" s="22">
        <f>H296+H297+H298+H307+H308+H359+H304+H314+H393+H319+H320+H394+H311+H310+H321+H306+H322+H315</f>
        <v>0</v>
      </c>
      <c r="I295" s="22">
        <f>I296+I297+I298+I307+I308+I359+I304+I314+I393+I319+I320+I394+I311+I310+I321+I306+I322+I315</f>
        <v>0</v>
      </c>
      <c r="J295" s="22">
        <f>J296</f>
        <v>0</v>
      </c>
      <c r="K295" s="23">
        <f>K296</f>
        <v>0</v>
      </c>
      <c r="L295" s="22">
        <f>L296+L297+L298+L307+L308+L359+L304+L314+L393+L319+L320+L394+L311+L310+L306+L354+L299+L313</f>
        <v>0</v>
      </c>
      <c r="M295" s="22">
        <f>M296+M297+M298+M307+M308+M359+M304+M314+M393+M319+M320+M394+M311+M310+M306+M354+M299+M313</f>
        <v>0</v>
      </c>
      <c r="N295" s="22">
        <f>N296+N297+N298+N307+N308+N359+N304+N314+N393+N319+N320+N394+N311+N310+N306+N354+N299+N313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7324700</v>
      </c>
      <c r="H323" s="22">
        <f t="shared" si="64"/>
        <v>12298361</v>
      </c>
      <c r="I323" s="22">
        <f t="shared" si="64"/>
        <v>0</v>
      </c>
      <c r="J323" s="22">
        <f t="shared" si="64"/>
        <v>385185104</v>
      </c>
      <c r="K323" s="22">
        <f>K333</f>
        <v>353124927</v>
      </c>
      <c r="L323" s="22">
        <f t="shared" si="64"/>
        <v>0</v>
      </c>
      <c r="M323" s="22">
        <f t="shared" si="64"/>
        <v>0</v>
      </c>
      <c r="N323" s="22">
        <f t="shared" si="64"/>
        <v>0</v>
      </c>
      <c r="O323" s="22">
        <f t="shared" si="64"/>
        <v>385185104</v>
      </c>
      <c r="P323" s="11">
        <f t="shared" si="63"/>
        <v>577375495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K345+K365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J364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J381+J361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J383</f>
        <v>67909411</v>
      </c>
      <c r="K328" s="15">
        <f t="shared" si="68"/>
        <v>67909411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J375</f>
        <v>94237330</v>
      </c>
      <c r="K330" s="15">
        <f t="shared" si="69"/>
        <v>94237330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94237330</v>
      </c>
      <c r="P330" s="14">
        <f t="shared" si="63"/>
        <v>94237330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K336+K340+K378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SUM(K396)</f>
        <v>0</v>
      </c>
      <c r="L332" s="15"/>
      <c r="M332" s="15"/>
      <c r="N332" s="15"/>
      <c r="O332" s="27">
        <f>O396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E334+E356+E386+E398+E358+E352+E384</f>
        <v>192190391</v>
      </c>
      <c r="F333" s="23">
        <f>F334+F356+F386+F398+F358+F352+F384</f>
        <v>192190391</v>
      </c>
      <c r="G333" s="23">
        <f>G334+G356+G386+G398</f>
        <v>7324700</v>
      </c>
      <c r="H333" s="23">
        <f>H334+H356+H386+H398</f>
        <v>12298361</v>
      </c>
      <c r="I333" s="23">
        <f>I334+I356+I386</f>
        <v>0</v>
      </c>
      <c r="J333" s="23">
        <f>J334+J337+J344+J348+J351+J354+J356+J359+J360+J367+J368+J376+J379+J382+J386+J393+J394+J395+J353+J346+J341+J380+J342+J335</f>
        <v>385185104</v>
      </c>
      <c r="K333" s="23">
        <f>K334+K337+K344+K348+K351+K354+K356+K359+K360+K367+K368+K376+K379+K382+K386+K393+K394+K395+K353+K346+K341+K380+K342+K335</f>
        <v>353124927</v>
      </c>
      <c r="L333" s="23">
        <f>L334+L337+L344+L348+L351+L354+L356+L359+L360+L367+L368+L376+L379+L382+L386+L393+L394+L395+L353+L346+L341+L380</f>
        <v>0</v>
      </c>
      <c r="M333" s="23">
        <f>M334+M337+M344+M348+M351+M354+M356+M359+M360+M367+M368+M376+M379+M382+M386+M393+M394+M395+M353+M346+M341+M380</f>
        <v>0</v>
      </c>
      <c r="N333" s="23">
        <f>N334+N337+N344+N348+N351+N354+N356+N359+N360+N367+N368+N376+N379+N382+N386+N393+N394+N395+N353+N346+N341+N380</f>
        <v>0</v>
      </c>
      <c r="O333" s="23">
        <f>O334+O337+O344+O348+O351+O354+O356+O359+O360+O367+O368+O376+O379+O382+O386+O393+O394+O395+O353+O346+O341+O380+O342+O335</f>
        <v>385185104</v>
      </c>
      <c r="P333" s="11">
        <f t="shared" si="63"/>
        <v>577375495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1" si="70">F334+I334</f>
        <v>11151990</v>
      </c>
      <c r="F334" s="10">
        <f>11207200-55210</f>
        <v>11151990</v>
      </c>
      <c r="G334" s="10">
        <f>3002700+1700000+2580000+42000</f>
        <v>7324700</v>
      </c>
      <c r="H334" s="10">
        <f>127000-55210</f>
        <v>71790</v>
      </c>
      <c r="I334" s="10"/>
      <c r="J334" s="9">
        <f t="shared" ref="J334:J385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8" si="72">K334</f>
        <v>895000</v>
      </c>
      <c r="P334" s="11">
        <f t="shared" ref="P334:P399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4900000</v>
      </c>
      <c r="K335" s="10">
        <v>4900000</v>
      </c>
      <c r="L335" s="10"/>
      <c r="M335" s="10"/>
      <c r="N335" s="10"/>
      <c r="O335" s="10">
        <f t="shared" si="72"/>
        <v>4900000</v>
      </c>
      <c r="P335" s="11">
        <f t="shared" si="73"/>
        <v>4900000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4900000</v>
      </c>
      <c r="K336" s="15">
        <v>4900000</v>
      </c>
      <c r="L336" s="15"/>
      <c r="M336" s="15"/>
      <c r="N336" s="15"/>
      <c r="O336" s="15">
        <f>K336</f>
        <v>4900000</v>
      </c>
      <c r="P336" s="14">
        <f t="shared" si="73"/>
        <v>4900000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6097264</v>
      </c>
      <c r="K337" s="10">
        <f>409800+10442+65000-19116-369800+6000000+938</f>
        <v>6097264</v>
      </c>
      <c r="L337" s="10"/>
      <c r="M337" s="10"/>
      <c r="N337" s="10"/>
      <c r="O337" s="10">
        <f t="shared" si="72"/>
        <v>6097264</v>
      </c>
      <c r="P337" s="11">
        <f t="shared" si="73"/>
        <v>6097264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794605</v>
      </c>
      <c r="K344" s="10">
        <f>619948+250000-75343</f>
        <v>794605</v>
      </c>
      <c r="L344" s="10"/>
      <c r="M344" s="10"/>
      <c r="N344" s="10"/>
      <c r="O344" s="10">
        <f t="shared" si="72"/>
        <v>794605</v>
      </c>
      <c r="P344" s="11">
        <f t="shared" si="73"/>
        <v>794605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</f>
        <v>12226571</v>
      </c>
      <c r="I356" s="24"/>
      <c r="J356" s="9">
        <f t="shared" si="71"/>
        <v>10486126</v>
      </c>
      <c r="K356" s="24">
        <f>10520526+150000-82700+500000+128886-108886-621700</f>
        <v>10486126</v>
      </c>
      <c r="L356" s="24"/>
      <c r="M356" s="24"/>
      <c r="N356" s="24"/>
      <c r="O356" s="10">
        <f t="shared" si="72"/>
        <v>10486126</v>
      </c>
      <c r="P356" s="11">
        <f t="shared" si="73"/>
        <v>93481550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x14ac:dyDescent="0.2">
      <c r="A359" s="96" t="s">
        <v>605</v>
      </c>
      <c r="B359" s="64" t="s">
        <v>378</v>
      </c>
      <c r="C359" s="64" t="s">
        <v>208</v>
      </c>
      <c r="D359" s="5" t="s">
        <v>377</v>
      </c>
      <c r="E359" s="9">
        <f>F359+I359</f>
        <v>0</v>
      </c>
      <c r="F359" s="10"/>
      <c r="G359" s="10"/>
      <c r="H359" s="10"/>
      <c r="I359" s="10"/>
      <c r="J359" s="9">
        <f>L359+O359</f>
        <v>1055000</v>
      </c>
      <c r="K359" s="10">
        <f>500000+400000+155000</f>
        <v>1055000</v>
      </c>
      <c r="L359" s="10"/>
      <c r="M359" s="10"/>
      <c r="N359" s="10"/>
      <c r="O359" s="10">
        <f>K359</f>
        <v>1055000</v>
      </c>
      <c r="P359" s="11">
        <f>E359+J359</f>
        <v>1055000</v>
      </c>
    </row>
    <row r="360" spans="1:16" x14ac:dyDescent="0.2">
      <c r="A360" s="96" t="s">
        <v>408</v>
      </c>
      <c r="B360" s="4" t="s">
        <v>406</v>
      </c>
      <c r="C360" s="4" t="s">
        <v>407</v>
      </c>
      <c r="D360" s="12" t="s">
        <v>405</v>
      </c>
      <c r="E360" s="9">
        <f t="shared" si="70"/>
        <v>0</v>
      </c>
      <c r="F360" s="10"/>
      <c r="G360" s="10"/>
      <c r="H360" s="10"/>
      <c r="I360" s="10"/>
      <c r="J360" s="9">
        <f t="shared" si="71"/>
        <v>32942883</v>
      </c>
      <c r="K360" s="10">
        <f>35591061-970000+600000-1088599-233120-330000-500000-218450+22491-11000+80500</f>
        <v>32942883</v>
      </c>
      <c r="L360" s="10"/>
      <c r="M360" s="10"/>
      <c r="N360" s="10"/>
      <c r="O360" s="10">
        <f t="shared" si="72"/>
        <v>32942883</v>
      </c>
      <c r="P360" s="11">
        <f t="shared" si="73"/>
        <v>32942883</v>
      </c>
    </row>
    <row r="361" spans="1:16" s="1" customFormat="1" ht="25.5" hidden="1" x14ac:dyDescent="0.2">
      <c r="A361" s="97"/>
      <c r="B361" s="3"/>
      <c r="C361" s="3"/>
      <c r="D361" s="16" t="s">
        <v>553</v>
      </c>
      <c r="E361" s="8"/>
      <c r="F361" s="15"/>
      <c r="G361" s="15"/>
      <c r="H361" s="15"/>
      <c r="I361" s="15"/>
      <c r="J361" s="8">
        <f>K361</f>
        <v>0</v>
      </c>
      <c r="K361" s="15"/>
      <c r="L361" s="15"/>
      <c r="M361" s="15"/>
      <c r="N361" s="15"/>
      <c r="O361" s="15">
        <f>K361</f>
        <v>0</v>
      </c>
      <c r="P361" s="14">
        <f t="shared" si="73"/>
        <v>0</v>
      </c>
    </row>
    <row r="362" spans="1:16" s="1" customFormat="1" ht="12.6" customHeight="1" x14ac:dyDescent="0.2">
      <c r="A362" s="97"/>
      <c r="B362" s="3"/>
      <c r="C362" s="3"/>
      <c r="D362" s="16" t="s">
        <v>518</v>
      </c>
      <c r="E362" s="8"/>
      <c r="F362" s="15"/>
      <c r="G362" s="15"/>
      <c r="H362" s="15"/>
      <c r="I362" s="15"/>
      <c r="J362" s="8">
        <f t="shared" si="71"/>
        <v>6700000</v>
      </c>
      <c r="K362" s="15">
        <f>6700000</f>
        <v>6700000</v>
      </c>
      <c r="L362" s="15"/>
      <c r="M362" s="15"/>
      <c r="N362" s="15"/>
      <c r="O362" s="15">
        <f>K362</f>
        <v>6700000</v>
      </c>
      <c r="P362" s="14">
        <f>E362+J362</f>
        <v>6700000</v>
      </c>
    </row>
    <row r="363" spans="1:16" hidden="1" x14ac:dyDescent="0.2">
      <c r="A363" s="96" t="s">
        <v>411</v>
      </c>
      <c r="B363" s="4" t="s">
        <v>410</v>
      </c>
      <c r="C363" s="4"/>
      <c r="D363" s="18" t="s">
        <v>409</v>
      </c>
      <c r="E363" s="9">
        <f t="shared" si="70"/>
        <v>0</v>
      </c>
      <c r="F363" s="10"/>
      <c r="G363" s="10"/>
      <c r="H363" s="10"/>
      <c r="I363" s="10"/>
      <c r="J363" s="9">
        <f t="shared" si="71"/>
        <v>0</v>
      </c>
      <c r="K363" s="10"/>
      <c r="L363" s="10">
        <f>SUM(L366:L368)</f>
        <v>0</v>
      </c>
      <c r="M363" s="10">
        <f>SUM(M366:M368)</f>
        <v>0</v>
      </c>
      <c r="N363" s="10">
        <f>SUM(N366:N368)</f>
        <v>0</v>
      </c>
      <c r="O363" s="10">
        <f>K363</f>
        <v>0</v>
      </c>
      <c r="P363" s="11">
        <f>E363+J363</f>
        <v>0</v>
      </c>
    </row>
    <row r="364" spans="1:16" s="1" customFormat="1" ht="51" hidden="1" x14ac:dyDescent="0.2">
      <c r="A364" s="97"/>
      <c r="B364" s="3"/>
      <c r="C364" s="3"/>
      <c r="D364" s="16" t="s">
        <v>606</v>
      </c>
      <c r="E364" s="8"/>
      <c r="F364" s="15"/>
      <c r="G364" s="15"/>
      <c r="H364" s="15"/>
      <c r="I364" s="15"/>
      <c r="J364" s="9">
        <f t="shared" si="71"/>
        <v>0</v>
      </c>
      <c r="K364" s="15"/>
      <c r="L364" s="15"/>
      <c r="M364" s="15"/>
      <c r="N364" s="15"/>
      <c r="O364" s="10">
        <f>K364</f>
        <v>0</v>
      </c>
      <c r="P364" s="11">
        <f>E364+J364</f>
        <v>0</v>
      </c>
    </row>
    <row r="365" spans="1:16" s="1" customFormat="1" hidden="1" x14ac:dyDescent="0.2">
      <c r="A365" s="97"/>
      <c r="B365" s="3"/>
      <c r="C365" s="3"/>
      <c r="D365" s="16" t="s">
        <v>518</v>
      </c>
      <c r="E365" s="8"/>
      <c r="F365" s="15"/>
      <c r="G365" s="15"/>
      <c r="H365" s="15"/>
      <c r="I365" s="15"/>
      <c r="J365" s="8">
        <f>K365+L365</f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 t="s">
        <v>415</v>
      </c>
      <c r="B366" s="3" t="s">
        <v>412</v>
      </c>
      <c r="C366" s="3" t="s">
        <v>407</v>
      </c>
      <c r="D366" s="16" t="s">
        <v>418</v>
      </c>
      <c r="E366" s="9">
        <f t="shared" si="70"/>
        <v>0</v>
      </c>
      <c r="F366" s="15"/>
      <c r="G366" s="15"/>
      <c r="H366" s="15"/>
      <c r="I366" s="15"/>
      <c r="J366" s="9">
        <f t="shared" si="71"/>
        <v>0</v>
      </c>
      <c r="K366" s="15"/>
      <c r="L366" s="15"/>
      <c r="M366" s="15"/>
      <c r="N366" s="15"/>
      <c r="O366" s="10">
        <f t="shared" si="72"/>
        <v>0</v>
      </c>
      <c r="P366" s="11">
        <f t="shared" si="73"/>
        <v>0</v>
      </c>
    </row>
    <row r="367" spans="1:16" s="1" customFormat="1" x14ac:dyDescent="0.2">
      <c r="A367" s="97" t="s">
        <v>416</v>
      </c>
      <c r="B367" s="3" t="s">
        <v>413</v>
      </c>
      <c r="C367" s="3" t="s">
        <v>407</v>
      </c>
      <c r="D367" s="16" t="s">
        <v>419</v>
      </c>
      <c r="E367" s="9">
        <f t="shared" si="70"/>
        <v>0</v>
      </c>
      <c r="F367" s="15"/>
      <c r="G367" s="15"/>
      <c r="H367" s="15"/>
      <c r="I367" s="15"/>
      <c r="J367" s="9">
        <f t="shared" si="71"/>
        <v>28916</v>
      </c>
      <c r="K367" s="15">
        <f>70000-41084</f>
        <v>28916</v>
      </c>
      <c r="L367" s="15"/>
      <c r="M367" s="15"/>
      <c r="N367" s="15"/>
      <c r="O367" s="10">
        <f t="shared" si="72"/>
        <v>28916</v>
      </c>
      <c r="P367" s="11">
        <f t="shared" si="73"/>
        <v>28916</v>
      </c>
    </row>
    <row r="368" spans="1:16" s="1" customFormat="1" x14ac:dyDescent="0.2">
      <c r="A368" s="97" t="s">
        <v>417</v>
      </c>
      <c r="B368" s="3" t="s">
        <v>414</v>
      </c>
      <c r="C368" s="3" t="s">
        <v>407</v>
      </c>
      <c r="D368" s="16" t="s">
        <v>420</v>
      </c>
      <c r="E368" s="9">
        <f t="shared" si="70"/>
        <v>0</v>
      </c>
      <c r="F368" s="15"/>
      <c r="G368" s="15"/>
      <c r="H368" s="15"/>
      <c r="I368" s="15"/>
      <c r="J368" s="9">
        <f t="shared" si="71"/>
        <v>109999000</v>
      </c>
      <c r="K368" s="15">
        <f>35005000-13279370-10000000+80000000+14237330+1581924+2454116</f>
        <v>109999000</v>
      </c>
      <c r="L368" s="15"/>
      <c r="M368" s="15"/>
      <c r="N368" s="15"/>
      <c r="O368" s="10">
        <f t="shared" si="72"/>
        <v>109999000</v>
      </c>
      <c r="P368" s="11">
        <f t="shared" si="73"/>
        <v>109999000</v>
      </c>
    </row>
    <row r="369" spans="1:16" ht="25.5" hidden="1" x14ac:dyDescent="0.2">
      <c r="A369" s="96">
        <v>4713100</v>
      </c>
      <c r="B369" s="4" t="s">
        <v>197</v>
      </c>
      <c r="C369" s="4"/>
      <c r="D369" s="18" t="s">
        <v>64</v>
      </c>
      <c r="E369" s="9">
        <f>E370</f>
        <v>0</v>
      </c>
      <c r="F369" s="9">
        <f t="shared" ref="F369:O369" si="74">F370</f>
        <v>0</v>
      </c>
      <c r="G369" s="9">
        <f t="shared" si="74"/>
        <v>0</v>
      </c>
      <c r="H369" s="9">
        <f t="shared" si="74"/>
        <v>0</v>
      </c>
      <c r="I369" s="9">
        <f t="shared" si="74"/>
        <v>0</v>
      </c>
      <c r="J369" s="9">
        <f t="shared" si="71"/>
        <v>0</v>
      </c>
      <c r="K369" s="9"/>
      <c r="L369" s="9">
        <f t="shared" si="74"/>
        <v>0</v>
      </c>
      <c r="M369" s="9">
        <f t="shared" si="74"/>
        <v>0</v>
      </c>
      <c r="N369" s="9">
        <f t="shared" si="74"/>
        <v>0</v>
      </c>
      <c r="O369" s="9">
        <f t="shared" si="74"/>
        <v>0</v>
      </c>
      <c r="P369" s="11">
        <f t="shared" si="73"/>
        <v>0</v>
      </c>
    </row>
    <row r="370" spans="1:16" s="1" customFormat="1" hidden="1" x14ac:dyDescent="0.2">
      <c r="A370" s="97">
        <v>4713105</v>
      </c>
      <c r="B370" s="3" t="s">
        <v>99</v>
      </c>
      <c r="C370" s="3" t="s">
        <v>106</v>
      </c>
      <c r="D370" s="21" t="s">
        <v>152</v>
      </c>
      <c r="E370" s="8">
        <f>F370+I370</f>
        <v>0</v>
      </c>
      <c r="F370" s="27"/>
      <c r="G370" s="27"/>
      <c r="H370" s="27"/>
      <c r="I370" s="27"/>
      <c r="J370" s="9">
        <f t="shared" si="71"/>
        <v>0</v>
      </c>
      <c r="K370" s="15"/>
      <c r="L370" s="27"/>
      <c r="M370" s="27"/>
      <c r="N370" s="27"/>
      <c r="O370" s="15">
        <f>K370</f>
        <v>0</v>
      </c>
      <c r="P370" s="11">
        <f t="shared" si="73"/>
        <v>0</v>
      </c>
    </row>
    <row r="371" spans="1:16" hidden="1" x14ac:dyDescent="0.2">
      <c r="A371" s="96">
        <v>4715040</v>
      </c>
      <c r="B371" s="17" t="s">
        <v>186</v>
      </c>
      <c r="C371" s="17"/>
      <c r="D371" s="5" t="s">
        <v>187</v>
      </c>
      <c r="E371" s="9">
        <f>E372</f>
        <v>0</v>
      </c>
      <c r="F371" s="9">
        <f t="shared" ref="F371:O371" si="75">F372</f>
        <v>0</v>
      </c>
      <c r="G371" s="9">
        <f t="shared" si="75"/>
        <v>0</v>
      </c>
      <c r="H371" s="9">
        <f t="shared" si="75"/>
        <v>0</v>
      </c>
      <c r="I371" s="9">
        <f t="shared" si="75"/>
        <v>0</v>
      </c>
      <c r="J371" s="9">
        <f t="shared" si="71"/>
        <v>0</v>
      </c>
      <c r="K371" s="9"/>
      <c r="L371" s="9">
        <f t="shared" si="75"/>
        <v>0</v>
      </c>
      <c r="M371" s="9">
        <f t="shared" si="75"/>
        <v>0</v>
      </c>
      <c r="N371" s="9">
        <f t="shared" si="75"/>
        <v>0</v>
      </c>
      <c r="O371" s="9">
        <f t="shared" si="75"/>
        <v>0</v>
      </c>
      <c r="P371" s="11">
        <f t="shared" si="73"/>
        <v>0</v>
      </c>
    </row>
    <row r="372" spans="1:16" hidden="1" x14ac:dyDescent="0.2">
      <c r="A372" s="97">
        <v>4715041</v>
      </c>
      <c r="B372" s="19" t="s">
        <v>188</v>
      </c>
      <c r="C372" s="19" t="s">
        <v>52</v>
      </c>
      <c r="D372" s="21" t="s">
        <v>189</v>
      </c>
      <c r="E372" s="9">
        <f>F372+I372</f>
        <v>0</v>
      </c>
      <c r="F372" s="27"/>
      <c r="G372" s="27"/>
      <c r="H372" s="27"/>
      <c r="I372" s="27"/>
      <c r="J372" s="9">
        <f t="shared" si="71"/>
        <v>0</v>
      </c>
      <c r="K372" s="10"/>
      <c r="L372" s="27"/>
      <c r="M372" s="27"/>
      <c r="N372" s="27"/>
      <c r="O372" s="15">
        <f>K372</f>
        <v>0</v>
      </c>
      <c r="P372" s="11">
        <f t="shared" si="73"/>
        <v>0</v>
      </c>
    </row>
    <row r="373" spans="1:16" hidden="1" x14ac:dyDescent="0.2">
      <c r="A373" s="96">
        <v>4716050</v>
      </c>
      <c r="B373" s="4" t="s">
        <v>198</v>
      </c>
      <c r="C373" s="4"/>
      <c r="D373" s="38" t="s">
        <v>126</v>
      </c>
      <c r="E373" s="9">
        <f t="shared" si="70"/>
        <v>0</v>
      </c>
      <c r="F373" s="24"/>
      <c r="G373" s="24"/>
      <c r="H373" s="24"/>
      <c r="I373" s="24"/>
      <c r="J373" s="9">
        <f t="shared" si="71"/>
        <v>0</v>
      </c>
      <c r="K373" s="24"/>
      <c r="L373" s="24"/>
      <c r="M373" s="24"/>
      <c r="N373" s="24"/>
      <c r="O373" s="24">
        <f>O374</f>
        <v>0</v>
      </c>
      <c r="P373" s="11">
        <f t="shared" si="73"/>
        <v>0</v>
      </c>
    </row>
    <row r="374" spans="1:16" s="1" customFormat="1" hidden="1" x14ac:dyDescent="0.2">
      <c r="A374" s="97">
        <v>4716051</v>
      </c>
      <c r="B374" s="3" t="s">
        <v>102</v>
      </c>
      <c r="C374" s="3" t="s">
        <v>116</v>
      </c>
      <c r="D374" s="71" t="s">
        <v>127</v>
      </c>
      <c r="E374" s="9">
        <f t="shared" si="70"/>
        <v>0</v>
      </c>
      <c r="F374" s="27"/>
      <c r="G374" s="27"/>
      <c r="H374" s="27"/>
      <c r="I374" s="27"/>
      <c r="J374" s="9">
        <f t="shared" si="71"/>
        <v>0</v>
      </c>
      <c r="K374" s="27"/>
      <c r="L374" s="27"/>
      <c r="M374" s="27"/>
      <c r="N374" s="27"/>
      <c r="O374" s="15">
        <f t="shared" ref="O374:O383" si="76">K374</f>
        <v>0</v>
      </c>
      <c r="P374" s="11">
        <f t="shared" si="73"/>
        <v>0</v>
      </c>
    </row>
    <row r="375" spans="1:16" s="1" customFormat="1" ht="25.5" x14ac:dyDescent="0.2">
      <c r="A375" s="97"/>
      <c r="B375" s="3"/>
      <c r="C375" s="3"/>
      <c r="D375" s="53" t="s">
        <v>46</v>
      </c>
      <c r="E375" s="9"/>
      <c r="F375" s="27"/>
      <c r="G375" s="27"/>
      <c r="H375" s="27"/>
      <c r="I375" s="27"/>
      <c r="J375" s="8">
        <f t="shared" si="71"/>
        <v>94237330</v>
      </c>
      <c r="K375" s="27">
        <f>80000000+14237330</f>
        <v>94237330</v>
      </c>
      <c r="L375" s="27"/>
      <c r="M375" s="27"/>
      <c r="N375" s="27"/>
      <c r="O375" s="27">
        <f>K375</f>
        <v>94237330</v>
      </c>
      <c r="P375" s="11">
        <f t="shared" si="73"/>
        <v>94237330</v>
      </c>
    </row>
    <row r="376" spans="1:16" ht="15.75" customHeight="1" x14ac:dyDescent="0.2">
      <c r="A376" s="96" t="s">
        <v>512</v>
      </c>
      <c r="B376" s="4" t="s">
        <v>513</v>
      </c>
      <c r="C376" s="4" t="s">
        <v>407</v>
      </c>
      <c r="D376" s="18" t="s">
        <v>595</v>
      </c>
      <c r="E376" s="9">
        <f t="shared" si="70"/>
        <v>0</v>
      </c>
      <c r="F376" s="10"/>
      <c r="G376" s="10"/>
      <c r="H376" s="10"/>
      <c r="I376" s="10"/>
      <c r="J376" s="9">
        <f t="shared" si="71"/>
        <v>11945902</v>
      </c>
      <c r="K376" s="10">
        <f>8464390+550000+2950000-5590+4300000-4300000-12898</f>
        <v>11945902</v>
      </c>
      <c r="L376" s="10"/>
      <c r="M376" s="10"/>
      <c r="N376" s="10"/>
      <c r="O376" s="10">
        <f>K376</f>
        <v>11945902</v>
      </c>
      <c r="P376" s="11">
        <f t="shared" si="73"/>
        <v>11945902</v>
      </c>
    </row>
    <row r="377" spans="1:16" ht="27.75" hidden="1" customHeight="1" x14ac:dyDescent="0.2">
      <c r="A377" s="96" t="s">
        <v>526</v>
      </c>
      <c r="B377" s="4" t="s">
        <v>527</v>
      </c>
      <c r="C377" s="4"/>
      <c r="D377" s="18" t="s">
        <v>528</v>
      </c>
      <c r="E377" s="9">
        <f t="shared" si="70"/>
        <v>0</v>
      </c>
      <c r="F377" s="10"/>
      <c r="G377" s="10"/>
      <c r="H377" s="10"/>
      <c r="I377" s="10"/>
      <c r="J377" s="9">
        <f t="shared" si="71"/>
        <v>0</v>
      </c>
      <c r="K377" s="10"/>
      <c r="L377" s="10"/>
      <c r="M377" s="10"/>
      <c r="N377" s="10"/>
      <c r="O377" s="10">
        <f t="shared" si="76"/>
        <v>0</v>
      </c>
      <c r="P377" s="11">
        <f t="shared" si="73"/>
        <v>0</v>
      </c>
    </row>
    <row r="378" spans="1:16" s="1" customFormat="1" x14ac:dyDescent="0.2">
      <c r="A378" s="97"/>
      <c r="B378" s="3"/>
      <c r="C378" s="3"/>
      <c r="D378" s="16" t="s">
        <v>518</v>
      </c>
      <c r="E378" s="8"/>
      <c r="F378" s="15"/>
      <c r="G378" s="15"/>
      <c r="H378" s="15"/>
      <c r="I378" s="15"/>
      <c r="J378" s="8">
        <f>K378+L378</f>
        <v>4300000</v>
      </c>
      <c r="K378" s="15">
        <v>4300000</v>
      </c>
      <c r="L378" s="15"/>
      <c r="M378" s="15"/>
      <c r="N378" s="15"/>
      <c r="O378" s="15">
        <f>K378</f>
        <v>4300000</v>
      </c>
      <c r="P378" s="14">
        <f t="shared" si="73"/>
        <v>4300000</v>
      </c>
    </row>
    <row r="379" spans="1:16" s="1" customFormat="1" ht="25.5" x14ac:dyDescent="0.2">
      <c r="A379" s="97" t="s">
        <v>529</v>
      </c>
      <c r="B379" s="3" t="s">
        <v>530</v>
      </c>
      <c r="C379" s="3" t="s">
        <v>169</v>
      </c>
      <c r="D379" s="16" t="s">
        <v>531</v>
      </c>
      <c r="E379" s="8">
        <f t="shared" si="70"/>
        <v>0</v>
      </c>
      <c r="F379" s="15"/>
      <c r="G379" s="15"/>
      <c r="H379" s="15"/>
      <c r="I379" s="15"/>
      <c r="J379" s="8">
        <f t="shared" si="71"/>
        <v>4827976</v>
      </c>
      <c r="K379" s="15">
        <f>2500000+992976+1000000+200000+135000</f>
        <v>4827976</v>
      </c>
      <c r="L379" s="15"/>
      <c r="M379" s="15"/>
      <c r="N379" s="15"/>
      <c r="O379" s="15">
        <f t="shared" si="76"/>
        <v>4827976</v>
      </c>
      <c r="P379" s="14">
        <f t="shared" si="73"/>
        <v>4827976</v>
      </c>
    </row>
    <row r="380" spans="1:16" ht="25.5" x14ac:dyDescent="0.2">
      <c r="A380" s="96" t="s">
        <v>554</v>
      </c>
      <c r="B380" s="4" t="s">
        <v>551</v>
      </c>
      <c r="C380" s="4" t="s">
        <v>169</v>
      </c>
      <c r="D380" s="18" t="s">
        <v>552</v>
      </c>
      <c r="E380" s="9">
        <f t="shared" si="70"/>
        <v>0</v>
      </c>
      <c r="F380" s="10"/>
      <c r="G380" s="10"/>
      <c r="H380" s="10"/>
      <c r="I380" s="10"/>
      <c r="J380" s="9">
        <f t="shared" si="71"/>
        <v>19588599</v>
      </c>
      <c r="K380" s="10">
        <f>10000000+1088599+8500000</f>
        <v>19588599</v>
      </c>
      <c r="L380" s="10"/>
      <c r="M380" s="10"/>
      <c r="N380" s="10"/>
      <c r="O380" s="10">
        <f t="shared" si="76"/>
        <v>19588599</v>
      </c>
      <c r="P380" s="11">
        <f t="shared" si="73"/>
        <v>19588599</v>
      </c>
    </row>
    <row r="381" spans="1:16" s="1" customFormat="1" ht="25.5" x14ac:dyDescent="0.2">
      <c r="A381" s="97"/>
      <c r="B381" s="3"/>
      <c r="C381" s="3"/>
      <c r="D381" s="16" t="s">
        <v>553</v>
      </c>
      <c r="E381" s="8">
        <f t="shared" si="70"/>
        <v>0</v>
      </c>
      <c r="F381" s="15"/>
      <c r="G381" s="15"/>
      <c r="H381" s="15"/>
      <c r="I381" s="15"/>
      <c r="J381" s="8">
        <f t="shared" si="71"/>
        <v>19588599</v>
      </c>
      <c r="K381" s="15">
        <f>10000000+1088599+8500000</f>
        <v>19588599</v>
      </c>
      <c r="L381" s="15"/>
      <c r="M381" s="15"/>
      <c r="N381" s="15"/>
      <c r="O381" s="15">
        <f t="shared" si="76"/>
        <v>19588599</v>
      </c>
      <c r="P381" s="14">
        <f t="shared" si="73"/>
        <v>19588599</v>
      </c>
    </row>
    <row r="382" spans="1:16" s="1" customFormat="1" ht="25.5" x14ac:dyDescent="0.2">
      <c r="A382" s="97" t="s">
        <v>543</v>
      </c>
      <c r="B382" s="3" t="s">
        <v>541</v>
      </c>
      <c r="C382" s="3" t="s">
        <v>169</v>
      </c>
      <c r="D382" s="29" t="s">
        <v>544</v>
      </c>
      <c r="E382" s="8">
        <f t="shared" si="70"/>
        <v>0</v>
      </c>
      <c r="F382" s="15"/>
      <c r="G382" s="15"/>
      <c r="H382" s="15"/>
      <c r="I382" s="15"/>
      <c r="J382" s="8">
        <f t="shared" si="71"/>
        <v>104019493</v>
      </c>
      <c r="K382" s="15">
        <f>90004042+1641600-2441600-500000+10000000-3929900-475000-155000-80000-47000-560000-2454116-7500+13023967</f>
        <v>104019493</v>
      </c>
      <c r="L382" s="15"/>
      <c r="M382" s="15"/>
      <c r="N382" s="15"/>
      <c r="O382" s="15">
        <f t="shared" si="76"/>
        <v>104019493</v>
      </c>
      <c r="P382" s="14">
        <f t="shared" si="73"/>
        <v>104019493</v>
      </c>
    </row>
    <row r="383" spans="1:16" s="1" customFormat="1" ht="25.5" x14ac:dyDescent="0.2">
      <c r="A383" s="97"/>
      <c r="B383" s="3"/>
      <c r="C383" s="3"/>
      <c r="D383" s="29" t="s">
        <v>545</v>
      </c>
      <c r="E383" s="8"/>
      <c r="F383" s="15"/>
      <c r="G383" s="15"/>
      <c r="H383" s="15"/>
      <c r="I383" s="15"/>
      <c r="J383" s="8">
        <f t="shared" si="71"/>
        <v>67909411</v>
      </c>
      <c r="K383" s="15">
        <f>44885444+10000000+13023967</f>
        <v>67909411</v>
      </c>
      <c r="L383" s="15"/>
      <c r="M383" s="15"/>
      <c r="N383" s="15"/>
      <c r="O383" s="15">
        <f t="shared" si="76"/>
        <v>67909411</v>
      </c>
      <c r="P383" s="14">
        <f t="shared" si="73"/>
        <v>67909411</v>
      </c>
    </row>
    <row r="384" spans="1:16" x14ac:dyDescent="0.2">
      <c r="A384" s="96" t="s">
        <v>693</v>
      </c>
      <c r="B384" s="17" t="s">
        <v>694</v>
      </c>
      <c r="C384" s="4" t="s">
        <v>27</v>
      </c>
      <c r="D384" s="60" t="s">
        <v>695</v>
      </c>
      <c r="E384" s="9">
        <f t="shared" si="70"/>
        <v>100000</v>
      </c>
      <c r="F384" s="10">
        <f>500000-400000</f>
        <v>100000</v>
      </c>
      <c r="G384" s="10"/>
      <c r="H384" s="10"/>
      <c r="I384" s="10"/>
      <c r="J384" s="8">
        <f t="shared" si="71"/>
        <v>0</v>
      </c>
      <c r="K384" s="10"/>
      <c r="L384" s="10"/>
      <c r="M384" s="10"/>
      <c r="N384" s="10"/>
      <c r="O384" s="10">
        <f>K384</f>
        <v>0</v>
      </c>
      <c r="P384" s="11">
        <f t="shared" si="73"/>
        <v>100000</v>
      </c>
    </row>
    <row r="385" spans="1:18" s="1" customFormat="1" ht="51" hidden="1" x14ac:dyDescent="0.2">
      <c r="A385" s="97"/>
      <c r="B385" s="19"/>
      <c r="C385" s="3"/>
      <c r="D385" s="29" t="s">
        <v>627</v>
      </c>
      <c r="E385" s="8"/>
      <c r="F385" s="15"/>
      <c r="G385" s="15"/>
      <c r="H385" s="15"/>
      <c r="I385" s="15"/>
      <c r="J385" s="8">
        <f t="shared" si="71"/>
        <v>0</v>
      </c>
      <c r="K385" s="15"/>
      <c r="L385" s="15"/>
      <c r="M385" s="15"/>
      <c r="N385" s="15"/>
      <c r="O385" s="15"/>
      <c r="P385" s="11">
        <f t="shared" si="73"/>
        <v>0</v>
      </c>
    </row>
    <row r="386" spans="1:18" s="1" customFormat="1" ht="25.5" x14ac:dyDescent="0.2">
      <c r="A386" s="97" t="s">
        <v>587</v>
      </c>
      <c r="B386" s="19" t="s">
        <v>367</v>
      </c>
      <c r="C386" s="3" t="s">
        <v>117</v>
      </c>
      <c r="D386" s="16" t="s">
        <v>366</v>
      </c>
      <c r="E386" s="8">
        <f t="shared" si="70"/>
        <v>93937977</v>
      </c>
      <c r="F386" s="15">
        <f>78837977+100000+15000000</f>
        <v>93937977</v>
      </c>
      <c r="G386" s="15"/>
      <c r="H386" s="15"/>
      <c r="I386" s="15"/>
      <c r="J386" s="9">
        <f t="shared" ref="J386:J392" si="77">L386+O386</f>
        <v>18727134</v>
      </c>
      <c r="K386" s="15">
        <v>18727134</v>
      </c>
      <c r="L386" s="15"/>
      <c r="M386" s="15"/>
      <c r="N386" s="15"/>
      <c r="O386" s="15">
        <f>K386</f>
        <v>18727134</v>
      </c>
      <c r="P386" s="14">
        <f t="shared" si="73"/>
        <v>112665111</v>
      </c>
    </row>
    <row r="387" spans="1:18" s="1" customFormat="1" ht="25.5" hidden="1" x14ac:dyDescent="0.2">
      <c r="A387" s="97"/>
      <c r="B387" s="3"/>
      <c r="C387" s="3"/>
      <c r="D387" s="29" t="s">
        <v>545</v>
      </c>
      <c r="E387" s="8">
        <f t="shared" si="70"/>
        <v>0</v>
      </c>
      <c r="F387" s="15"/>
      <c r="G387" s="15"/>
      <c r="H387" s="15"/>
      <c r="I387" s="15"/>
      <c r="J387" s="9">
        <f t="shared" si="77"/>
        <v>0</v>
      </c>
      <c r="K387" s="15"/>
      <c r="L387" s="15"/>
      <c r="M387" s="15"/>
      <c r="N387" s="15"/>
      <c r="O387" s="15">
        <f>K387</f>
        <v>0</v>
      </c>
      <c r="P387" s="14">
        <f t="shared" si="73"/>
        <v>0</v>
      </c>
    </row>
    <row r="388" spans="1:18" hidden="1" x14ac:dyDescent="0.2">
      <c r="A388" s="96" t="s">
        <v>594</v>
      </c>
      <c r="B388" s="3" t="s">
        <v>232</v>
      </c>
      <c r="C388" s="3" t="s">
        <v>169</v>
      </c>
      <c r="D388" s="57" t="s">
        <v>233</v>
      </c>
      <c r="E388" s="8">
        <f t="shared" si="70"/>
        <v>0</v>
      </c>
      <c r="F388" s="10"/>
      <c r="G388" s="10"/>
      <c r="H388" s="10"/>
      <c r="I388" s="10"/>
      <c r="J388" s="9">
        <f t="shared" si="77"/>
        <v>0</v>
      </c>
      <c r="K388" s="10"/>
      <c r="L388" s="10"/>
      <c r="M388" s="10"/>
      <c r="N388" s="10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611</v>
      </c>
      <c r="B389" s="17" t="s">
        <v>506</v>
      </c>
      <c r="C389" s="17" t="s">
        <v>171</v>
      </c>
      <c r="D389" s="21" t="s">
        <v>175</v>
      </c>
      <c r="E389" s="8">
        <f t="shared" si="70"/>
        <v>0</v>
      </c>
      <c r="F389" s="24"/>
      <c r="G389" s="24"/>
      <c r="H389" s="24"/>
      <c r="I389" s="24"/>
      <c r="J389" s="9">
        <f t="shared" si="77"/>
        <v>0</v>
      </c>
      <c r="K389" s="24"/>
      <c r="L389" s="24"/>
      <c r="M389" s="24"/>
      <c r="N389" s="24"/>
      <c r="O389" s="10"/>
      <c r="P389" s="11">
        <f t="shared" si="73"/>
        <v>0</v>
      </c>
    </row>
    <row r="390" spans="1:18" ht="15" hidden="1" customHeight="1" x14ac:dyDescent="0.2">
      <c r="A390" s="96"/>
      <c r="B390" s="17"/>
      <c r="C390" s="17"/>
      <c r="D390" s="21" t="s">
        <v>519</v>
      </c>
      <c r="E390" s="8">
        <f>F390+I390</f>
        <v>0</v>
      </c>
      <c r="F390" s="27"/>
      <c r="G390" s="27"/>
      <c r="H390" s="27"/>
      <c r="I390" s="27"/>
      <c r="J390" s="8">
        <f>L390+O390</f>
        <v>0</v>
      </c>
      <c r="K390" s="27"/>
      <c r="L390" s="27"/>
      <c r="M390" s="27"/>
      <c r="N390" s="27"/>
      <c r="O390" s="27"/>
      <c r="P390" s="14">
        <f>E390+J390</f>
        <v>0</v>
      </c>
    </row>
    <row r="391" spans="1:18" s="1" customFormat="1" ht="25.5" hidden="1" x14ac:dyDescent="0.2">
      <c r="A391" s="97" t="s">
        <v>609</v>
      </c>
      <c r="B391" s="19" t="s">
        <v>610</v>
      </c>
      <c r="C391" s="19" t="s">
        <v>398</v>
      </c>
      <c r="D391" s="18" t="s">
        <v>612</v>
      </c>
      <c r="E391" s="8">
        <f t="shared" si="70"/>
        <v>0</v>
      </c>
      <c r="F391" s="27"/>
      <c r="G391" s="27"/>
      <c r="H391" s="27"/>
      <c r="I391" s="27"/>
      <c r="J391" s="8">
        <f t="shared" si="77"/>
        <v>0</v>
      </c>
      <c r="K391" s="27"/>
      <c r="L391" s="27"/>
      <c r="M391" s="27"/>
      <c r="N391" s="27"/>
      <c r="O391" s="27"/>
      <c r="P391" s="14">
        <f t="shared" si="73"/>
        <v>0</v>
      </c>
    </row>
    <row r="392" spans="1:18" s="1" customFormat="1" ht="25.5" hidden="1" x14ac:dyDescent="0.2">
      <c r="A392" s="97"/>
      <c r="B392" s="19"/>
      <c r="C392" s="19"/>
      <c r="D392" s="21" t="s">
        <v>608</v>
      </c>
      <c r="E392" s="8"/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>
        <f>O391</f>
        <v>0</v>
      </c>
      <c r="P392" s="14">
        <f t="shared" si="73"/>
        <v>0</v>
      </c>
    </row>
    <row r="393" spans="1:18" x14ac:dyDescent="0.2">
      <c r="A393" s="96" t="s">
        <v>11</v>
      </c>
      <c r="B393" s="17" t="s">
        <v>224</v>
      </c>
      <c r="C393" s="4" t="s">
        <v>170</v>
      </c>
      <c r="D393" s="38" t="s">
        <v>125</v>
      </c>
      <c r="E393" s="9"/>
      <c r="F393" s="24"/>
      <c r="G393" s="24"/>
      <c r="H393" s="24"/>
      <c r="I393" s="24"/>
      <c r="J393" s="9">
        <f>L393+O393</f>
        <v>333390</v>
      </c>
      <c r="K393" s="24">
        <f>183390+150000</f>
        <v>333390</v>
      </c>
      <c r="L393" s="24"/>
      <c r="M393" s="24"/>
      <c r="N393" s="24"/>
      <c r="O393" s="10">
        <f>K393</f>
        <v>333390</v>
      </c>
      <c r="P393" s="11">
        <f t="shared" ref="P393:P398" si="78">E393+J393</f>
        <v>333390</v>
      </c>
    </row>
    <row r="394" spans="1:18" x14ac:dyDescent="0.2">
      <c r="A394" s="96" t="s">
        <v>12</v>
      </c>
      <c r="B394" s="4" t="s">
        <v>223</v>
      </c>
      <c r="C394" s="4" t="s">
        <v>169</v>
      </c>
      <c r="D394" s="56" t="s">
        <v>375</v>
      </c>
      <c r="E394" s="9">
        <f>F394+I394</f>
        <v>0</v>
      </c>
      <c r="F394" s="9"/>
      <c r="G394" s="9"/>
      <c r="H394" s="9"/>
      <c r="I394" s="9"/>
      <c r="J394" s="9">
        <f>L394+O394</f>
        <v>5539500</v>
      </c>
      <c r="K394" s="9">
        <f>1839500+5000+600000+135000+1195000+570000+475000+720000</f>
        <v>5539500</v>
      </c>
      <c r="L394" s="9"/>
      <c r="M394" s="9"/>
      <c r="N394" s="9"/>
      <c r="O394" s="10">
        <f>K394</f>
        <v>5539500</v>
      </c>
      <c r="P394" s="11">
        <f t="shared" si="78"/>
        <v>5539500</v>
      </c>
    </row>
    <row r="395" spans="1:18" s="1" customFormat="1" x14ac:dyDescent="0.2">
      <c r="A395" s="97" t="s">
        <v>611</v>
      </c>
      <c r="B395" s="19" t="s">
        <v>506</v>
      </c>
      <c r="C395" s="4" t="s">
        <v>171</v>
      </c>
      <c r="D395" s="12" t="s">
        <v>175</v>
      </c>
      <c r="E395" s="9"/>
      <c r="F395" s="27"/>
      <c r="G395" s="27"/>
      <c r="H395" s="27"/>
      <c r="I395" s="27"/>
      <c r="J395" s="9">
        <f>L395+O395</f>
        <v>32060177</v>
      </c>
      <c r="K395" s="27"/>
      <c r="L395" s="27"/>
      <c r="M395" s="27"/>
      <c r="N395" s="27"/>
      <c r="O395" s="27">
        <f>O396+223839</f>
        <v>32060177</v>
      </c>
      <c r="P395" s="11">
        <f t="shared" si="78"/>
        <v>32060177</v>
      </c>
    </row>
    <row r="396" spans="1:18" s="1" customFormat="1" ht="13.5" customHeight="1" x14ac:dyDescent="0.2">
      <c r="A396" s="97"/>
      <c r="B396" s="19"/>
      <c r="C396" s="3"/>
      <c r="D396" s="21" t="s">
        <v>519</v>
      </c>
      <c r="E396" s="9"/>
      <c r="F396" s="27"/>
      <c r="G396" s="27"/>
      <c r="H396" s="27"/>
      <c r="I396" s="27"/>
      <c r="J396" s="9">
        <f>L396+O396</f>
        <v>31836338</v>
      </c>
      <c r="K396" s="27"/>
      <c r="L396" s="27"/>
      <c r="M396" s="27"/>
      <c r="N396" s="27"/>
      <c r="O396" s="27">
        <f>31436000+400338</f>
        <v>31836338</v>
      </c>
      <c r="P396" s="11">
        <f t="shared" si="78"/>
        <v>31836338</v>
      </c>
    </row>
    <row r="397" spans="1:18" s="1" customFormat="1" ht="13.5" hidden="1" customHeight="1" x14ac:dyDescent="0.2">
      <c r="A397" s="97"/>
      <c r="B397" s="19"/>
      <c r="C397" s="3"/>
      <c r="D397" s="21"/>
      <c r="E397" s="9"/>
      <c r="F397" s="27"/>
      <c r="G397" s="27"/>
      <c r="H397" s="27"/>
      <c r="I397" s="27"/>
      <c r="J397" s="55">
        <f>O397</f>
        <v>0</v>
      </c>
      <c r="K397" s="27"/>
      <c r="L397" s="27"/>
      <c r="M397" s="27"/>
      <c r="N397" s="27"/>
      <c r="O397" s="27"/>
      <c r="P397" s="11">
        <f t="shared" si="78"/>
        <v>0</v>
      </c>
    </row>
    <row r="398" spans="1:18" ht="30" customHeight="1" x14ac:dyDescent="0.2">
      <c r="A398" s="96" t="s">
        <v>50</v>
      </c>
      <c r="B398" s="17" t="s">
        <v>49</v>
      </c>
      <c r="C398" s="17" t="s">
        <v>116</v>
      </c>
      <c r="D398" s="5" t="s">
        <v>48</v>
      </c>
      <c r="E398" s="9">
        <f>F398+I398</f>
        <v>1020000</v>
      </c>
      <c r="F398" s="24">
        <f>260000+570000+190000</f>
        <v>1020000</v>
      </c>
      <c r="G398" s="24"/>
      <c r="H398" s="24"/>
      <c r="I398" s="24"/>
      <c r="J398" s="9">
        <f>L398+O398</f>
        <v>0</v>
      </c>
      <c r="K398" s="24"/>
      <c r="L398" s="24"/>
      <c r="M398" s="24"/>
      <c r="N398" s="24"/>
      <c r="O398" s="24"/>
      <c r="P398" s="11">
        <f t="shared" si="78"/>
        <v>1020000</v>
      </c>
    </row>
    <row r="399" spans="1:18" ht="15.75" customHeight="1" x14ac:dyDescent="0.2">
      <c r="A399" s="94">
        <v>3100000</v>
      </c>
      <c r="B399" s="100"/>
      <c r="C399" s="6"/>
      <c r="D399" s="25" t="s">
        <v>118</v>
      </c>
      <c r="E399" s="22">
        <f>E401</f>
        <v>5094600</v>
      </c>
      <c r="F399" s="22">
        <f t="shared" ref="F399:O399" si="79">F401</f>
        <v>5094600</v>
      </c>
      <c r="G399" s="22">
        <f t="shared" si="79"/>
        <v>1400000</v>
      </c>
      <c r="H399" s="22">
        <f t="shared" si="79"/>
        <v>0</v>
      </c>
      <c r="I399" s="22">
        <f t="shared" si="79"/>
        <v>0</v>
      </c>
      <c r="J399" s="22">
        <f t="shared" si="79"/>
        <v>3227000</v>
      </c>
      <c r="K399" s="22">
        <f>K401</f>
        <v>3227000</v>
      </c>
      <c r="L399" s="22">
        <f t="shared" si="79"/>
        <v>0</v>
      </c>
      <c r="M399" s="22">
        <f t="shared" si="79"/>
        <v>0</v>
      </c>
      <c r="N399" s="22">
        <f t="shared" si="79"/>
        <v>0</v>
      </c>
      <c r="O399" s="22">
        <f t="shared" si="79"/>
        <v>3227000</v>
      </c>
      <c r="P399" s="11">
        <f t="shared" si="73"/>
        <v>8321600</v>
      </c>
      <c r="R399" s="28"/>
    </row>
    <row r="400" spans="1:18" s="1" customFormat="1" hidden="1" x14ac:dyDescent="0.2">
      <c r="A400" s="97"/>
      <c r="B400" s="19"/>
      <c r="C400" s="3"/>
      <c r="D400" s="13" t="s">
        <v>518</v>
      </c>
      <c r="E400" s="15"/>
      <c r="F400" s="15"/>
      <c r="G400" s="15"/>
      <c r="H400" s="15"/>
      <c r="I400" s="15"/>
      <c r="J400" s="15">
        <f>J406</f>
        <v>0</v>
      </c>
      <c r="K400" s="15">
        <f>K406</f>
        <v>0</v>
      </c>
      <c r="L400" s="15"/>
      <c r="M400" s="15"/>
      <c r="N400" s="15"/>
      <c r="O400" s="22">
        <f>K400</f>
        <v>0</v>
      </c>
      <c r="P400" s="11">
        <f>E400+J400</f>
        <v>0</v>
      </c>
    </row>
    <row r="401" spans="1:18" x14ac:dyDescent="0.2">
      <c r="A401" s="96" t="s">
        <v>383</v>
      </c>
      <c r="B401" s="17"/>
      <c r="C401" s="6"/>
      <c r="D401" s="13" t="s">
        <v>118</v>
      </c>
      <c r="E401" s="22">
        <f>E402+E404+E407+E412</f>
        <v>5094600</v>
      </c>
      <c r="F401" s="22">
        <f>F402+F404+F407+F412+F414</f>
        <v>5094600</v>
      </c>
      <c r="G401" s="22">
        <f>G402+G404+G407+G412</f>
        <v>1400000</v>
      </c>
      <c r="H401" s="22">
        <f>H402+H404+H407+H412</f>
        <v>0</v>
      </c>
      <c r="I401" s="22">
        <f>I402+I404+I407+I412</f>
        <v>0</v>
      </c>
      <c r="J401" s="22">
        <f>J402+J404+J407+J412+J408+J411+J413+J403</f>
        <v>3227000</v>
      </c>
      <c r="K401" s="22">
        <f>K402+K404+K407+K412+K408+K411+K413+K403</f>
        <v>3227000</v>
      </c>
      <c r="L401" s="22">
        <f>L402+L404+L407+L412+L408+L411+L413</f>
        <v>0</v>
      </c>
      <c r="M401" s="22">
        <f>M402+M404+M407+M412+M408+M411+M413</f>
        <v>0</v>
      </c>
      <c r="N401" s="22">
        <f>N402+N404+N407+N412+N408+N411+N413</f>
        <v>0</v>
      </c>
      <c r="O401" s="22">
        <f>O402+O404+O407+O412+O408+O411+O413+O403</f>
        <v>3227000</v>
      </c>
      <c r="P401" s="22">
        <f>P402+P404+P407+P412+P408+P411+P413+P403</f>
        <v>8321600</v>
      </c>
    </row>
    <row r="402" spans="1:18" ht="25.5" x14ac:dyDescent="0.2">
      <c r="A402" s="96" t="s">
        <v>384</v>
      </c>
      <c r="B402" s="4" t="s">
        <v>235</v>
      </c>
      <c r="C402" s="4" t="s">
        <v>163</v>
      </c>
      <c r="D402" s="12" t="s">
        <v>641</v>
      </c>
      <c r="E402" s="9">
        <f t="shared" ref="E402:E409" si="80">F402+I402</f>
        <v>1785600</v>
      </c>
      <c r="F402" s="10">
        <f>1885600-100000</f>
        <v>1785600</v>
      </c>
      <c r="G402" s="10">
        <f>1500000-100000</f>
        <v>1400000</v>
      </c>
      <c r="H402" s="10"/>
      <c r="I402" s="10"/>
      <c r="J402" s="9">
        <f>L402+O402</f>
        <v>28000</v>
      </c>
      <c r="K402" s="10">
        <f>228000-200000</f>
        <v>28000</v>
      </c>
      <c r="L402" s="10"/>
      <c r="M402" s="10"/>
      <c r="N402" s="10"/>
      <c r="O402" s="10">
        <f t="shared" ref="O402:O407" si="81">K402</f>
        <v>28000</v>
      </c>
      <c r="P402" s="11">
        <f t="shared" ref="P402:P418" si="82">E402+J402</f>
        <v>1813600</v>
      </c>
    </row>
    <row r="403" spans="1:18" x14ac:dyDescent="0.2">
      <c r="A403" s="96" t="s">
        <v>395</v>
      </c>
      <c r="B403" s="4" t="s">
        <v>394</v>
      </c>
      <c r="C403" s="4" t="s">
        <v>166</v>
      </c>
      <c r="D403" s="12" t="s">
        <v>393</v>
      </c>
      <c r="E403" s="9"/>
      <c r="F403" s="10"/>
      <c r="G403" s="10"/>
      <c r="H403" s="10"/>
      <c r="I403" s="10"/>
      <c r="J403" s="9">
        <f>L403+O403</f>
        <v>2130000</v>
      </c>
      <c r="K403" s="10">
        <f>2000000+130000</f>
        <v>2130000</v>
      </c>
      <c r="L403" s="10"/>
      <c r="M403" s="10"/>
      <c r="N403" s="10"/>
      <c r="O403" s="10">
        <f t="shared" si="81"/>
        <v>2130000</v>
      </c>
      <c r="P403" s="11">
        <f t="shared" si="82"/>
        <v>2130000</v>
      </c>
    </row>
    <row r="404" spans="1:18" x14ac:dyDescent="0.2">
      <c r="A404" s="96" t="s">
        <v>386</v>
      </c>
      <c r="B404" s="4" t="s">
        <v>385</v>
      </c>
      <c r="C404" s="4" t="s">
        <v>168</v>
      </c>
      <c r="D404" s="18" t="s">
        <v>24</v>
      </c>
      <c r="E404" s="9">
        <f t="shared" si="80"/>
        <v>0</v>
      </c>
      <c r="F404" s="10"/>
      <c r="G404" s="10"/>
      <c r="H404" s="10"/>
      <c r="I404" s="10"/>
      <c r="J404" s="9">
        <f>L404+O404</f>
        <v>700000</v>
      </c>
      <c r="K404" s="10">
        <f>700000</f>
        <v>700000</v>
      </c>
      <c r="L404" s="10"/>
      <c r="M404" s="10"/>
      <c r="N404" s="10"/>
      <c r="O404" s="10">
        <f t="shared" si="81"/>
        <v>700000</v>
      </c>
      <c r="P404" s="11">
        <f t="shared" si="82"/>
        <v>700000</v>
      </c>
    </row>
    <row r="405" spans="1:18" s="1" customFormat="1" ht="25.5" hidden="1" x14ac:dyDescent="0.2">
      <c r="A405" s="97" t="s">
        <v>395</v>
      </c>
      <c r="B405" s="3" t="s">
        <v>394</v>
      </c>
      <c r="C405" s="3" t="s">
        <v>166</v>
      </c>
      <c r="D405" s="57" t="s">
        <v>393</v>
      </c>
      <c r="E405" s="9">
        <f>F405+I405</f>
        <v>0</v>
      </c>
      <c r="F405" s="8"/>
      <c r="G405" s="8"/>
      <c r="H405" s="8"/>
      <c r="I405" s="8"/>
      <c r="J405" s="9">
        <f>L405+O405</f>
        <v>0</v>
      </c>
      <c r="K405" s="8"/>
      <c r="L405" s="8"/>
      <c r="M405" s="8"/>
      <c r="N405" s="8"/>
      <c r="O405" s="8">
        <f t="shared" si="81"/>
        <v>0</v>
      </c>
      <c r="P405" s="11">
        <f>E405+J405</f>
        <v>0</v>
      </c>
    </row>
    <row r="406" spans="1:18" s="1" customFormat="1" hidden="1" x14ac:dyDescent="0.2">
      <c r="A406" s="97"/>
      <c r="B406" s="3"/>
      <c r="C406" s="3"/>
      <c r="D406" s="57" t="s">
        <v>518</v>
      </c>
      <c r="E406" s="8"/>
      <c r="F406" s="8"/>
      <c r="G406" s="8"/>
      <c r="H406" s="8"/>
      <c r="I406" s="8"/>
      <c r="J406" s="9">
        <f>K406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x14ac:dyDescent="0.2">
      <c r="A407" s="96" t="s">
        <v>389</v>
      </c>
      <c r="B407" s="4" t="s">
        <v>388</v>
      </c>
      <c r="C407" s="4" t="s">
        <v>169</v>
      </c>
      <c r="D407" s="5" t="s">
        <v>387</v>
      </c>
      <c r="E407" s="9">
        <f t="shared" si="80"/>
        <v>0</v>
      </c>
      <c r="F407" s="10"/>
      <c r="G407" s="10"/>
      <c r="H407" s="10"/>
      <c r="I407" s="10"/>
      <c r="J407" s="9">
        <f>L407+O407</f>
        <v>279000</v>
      </c>
      <c r="K407" s="10">
        <f>199000+80000</f>
        <v>279000</v>
      </c>
      <c r="L407" s="10"/>
      <c r="M407" s="10"/>
      <c r="N407" s="10"/>
      <c r="O407" s="10">
        <f t="shared" si="81"/>
        <v>279000</v>
      </c>
      <c r="P407" s="11">
        <f t="shared" si="82"/>
        <v>279000</v>
      </c>
    </row>
    <row r="408" spans="1:18" ht="17.25" hidden="1" customHeight="1" x14ac:dyDescent="0.2">
      <c r="A408" s="96" t="s">
        <v>392</v>
      </c>
      <c r="B408" s="4" t="s">
        <v>391</v>
      </c>
      <c r="C408" s="4"/>
      <c r="D408" s="56" t="s">
        <v>390</v>
      </c>
      <c r="E408" s="9">
        <f t="shared" si="80"/>
        <v>0</v>
      </c>
      <c r="F408" s="9"/>
      <c r="G408" s="9"/>
      <c r="H408" s="9">
        <f>H405</f>
        <v>0</v>
      </c>
      <c r="I408" s="9">
        <f>I405</f>
        <v>0</v>
      </c>
      <c r="J408" s="9">
        <f>J405+J409</f>
        <v>0</v>
      </c>
      <c r="K408" s="9">
        <f>K405+K409</f>
        <v>0</v>
      </c>
      <c r="L408" s="9">
        <f>L405+L409</f>
        <v>0</v>
      </c>
      <c r="M408" s="9">
        <f>M405+M409</f>
        <v>0</v>
      </c>
      <c r="N408" s="9">
        <f>N405+N409</f>
        <v>0</v>
      </c>
      <c r="O408" s="10">
        <f>K408</f>
        <v>0</v>
      </c>
      <c r="P408" s="11">
        <f t="shared" si="82"/>
        <v>0</v>
      </c>
    </row>
    <row r="409" spans="1:18" s="1" customFormat="1" ht="38.25" hidden="1" x14ac:dyDescent="0.2">
      <c r="A409" s="97" t="s">
        <v>562</v>
      </c>
      <c r="B409" s="3" t="s">
        <v>563</v>
      </c>
      <c r="C409" s="3"/>
      <c r="D409" s="65" t="s">
        <v>564</v>
      </c>
      <c r="E409" s="9">
        <f t="shared" si="80"/>
        <v>0</v>
      </c>
      <c r="F409" s="8"/>
      <c r="G409" s="8"/>
      <c r="H409" s="8"/>
      <c r="I409" s="8"/>
      <c r="J409" s="9">
        <f>L409+O409</f>
        <v>0</v>
      </c>
      <c r="K409" s="8"/>
      <c r="L409" s="8"/>
      <c r="M409" s="8"/>
      <c r="N409" s="8"/>
      <c r="O409" s="10">
        <f>K409</f>
        <v>0</v>
      </c>
      <c r="P409" s="11">
        <f t="shared" si="82"/>
        <v>0</v>
      </c>
    </row>
    <row r="410" spans="1:18" s="1" customFormat="1" ht="51" hidden="1" x14ac:dyDescent="0.2">
      <c r="A410" s="97"/>
      <c r="B410" s="3"/>
      <c r="C410" s="3"/>
      <c r="D410" s="57" t="s">
        <v>565</v>
      </c>
      <c r="E410" s="9"/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hidden="1" x14ac:dyDescent="0.2">
      <c r="A411" s="96" t="s">
        <v>511</v>
      </c>
      <c r="B411" s="4" t="s">
        <v>223</v>
      </c>
      <c r="C411" s="4" t="s">
        <v>169</v>
      </c>
      <c r="D411" s="65" t="s">
        <v>375</v>
      </c>
      <c r="E411" s="9"/>
      <c r="F411" s="9"/>
      <c r="G411" s="9"/>
      <c r="H411" s="9"/>
      <c r="I411" s="9"/>
      <c r="J411" s="9">
        <f>L411+O411</f>
        <v>0</v>
      </c>
      <c r="K411" s="9"/>
      <c r="L411" s="9"/>
      <c r="M411" s="9"/>
      <c r="N411" s="9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495</v>
      </c>
      <c r="B412" s="4" t="s">
        <v>228</v>
      </c>
      <c r="C412" s="4"/>
      <c r="D412" s="65" t="s">
        <v>230</v>
      </c>
      <c r="E412" s="9">
        <f>E414</f>
        <v>3309000</v>
      </c>
      <c r="F412" s="9"/>
      <c r="G412" s="9"/>
      <c r="H412" s="9">
        <f t="shared" ref="H412:N412" si="83">H414</f>
        <v>0</v>
      </c>
      <c r="I412" s="9">
        <f t="shared" si="83"/>
        <v>0</v>
      </c>
      <c r="J412" s="9">
        <f t="shared" si="83"/>
        <v>90000</v>
      </c>
      <c r="K412" s="9">
        <f>K414</f>
        <v>90000</v>
      </c>
      <c r="L412" s="9">
        <f t="shared" si="83"/>
        <v>0</v>
      </c>
      <c r="M412" s="9">
        <f t="shared" si="83"/>
        <v>0</v>
      </c>
      <c r="N412" s="9">
        <f t="shared" si="83"/>
        <v>0</v>
      </c>
      <c r="O412" s="10">
        <f>K412</f>
        <v>90000</v>
      </c>
      <c r="P412" s="11">
        <f t="shared" si="82"/>
        <v>3399000</v>
      </c>
    </row>
    <row r="413" spans="1:18" hidden="1" x14ac:dyDescent="0.2">
      <c r="A413" s="96"/>
      <c r="B413" s="4"/>
      <c r="C413" s="4"/>
      <c r="D413" s="6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0"/>
      <c r="P413" s="11">
        <f t="shared" si="82"/>
        <v>0</v>
      </c>
    </row>
    <row r="414" spans="1:18" ht="15" customHeight="1" x14ac:dyDescent="0.2">
      <c r="A414" s="96" t="s">
        <v>496</v>
      </c>
      <c r="B414" s="4" t="s">
        <v>232</v>
      </c>
      <c r="C414" s="4" t="s">
        <v>169</v>
      </c>
      <c r="D414" s="65" t="s">
        <v>233</v>
      </c>
      <c r="E414" s="9">
        <f>F414+I414</f>
        <v>3309000</v>
      </c>
      <c r="F414" s="9">
        <f>199000+3110000+700000-700000</f>
        <v>3309000</v>
      </c>
      <c r="G414" s="9"/>
      <c r="H414" s="9"/>
      <c r="I414" s="9"/>
      <c r="J414" s="9">
        <f>L414+O414</f>
        <v>90000</v>
      </c>
      <c r="K414" s="9">
        <f>90000</f>
        <v>90000</v>
      </c>
      <c r="L414" s="9"/>
      <c r="M414" s="9"/>
      <c r="N414" s="9"/>
      <c r="O414" s="9">
        <f>K414</f>
        <v>90000</v>
      </c>
      <c r="P414" s="11">
        <f t="shared" si="82"/>
        <v>3399000</v>
      </c>
    </row>
    <row r="415" spans="1:18" ht="25.5" x14ac:dyDescent="0.2">
      <c r="A415" s="94" t="s">
        <v>683</v>
      </c>
      <c r="B415" s="100"/>
      <c r="C415" s="6"/>
      <c r="D415" s="25" t="s">
        <v>0</v>
      </c>
      <c r="E415" s="22">
        <f>E416</f>
        <v>6179500</v>
      </c>
      <c r="F415" s="22">
        <f t="shared" ref="F415:P416" si="84">F416</f>
        <v>6179500</v>
      </c>
      <c r="G415" s="22">
        <f t="shared" si="84"/>
        <v>4744700</v>
      </c>
      <c r="H415" s="22">
        <f t="shared" si="84"/>
        <v>156100</v>
      </c>
      <c r="I415" s="22">
        <f t="shared" si="84"/>
        <v>0</v>
      </c>
      <c r="J415" s="22">
        <f t="shared" si="84"/>
        <v>0</v>
      </c>
      <c r="K415" s="22">
        <f t="shared" si="84"/>
        <v>0</v>
      </c>
      <c r="L415" s="22">
        <f t="shared" si="84"/>
        <v>0</v>
      </c>
      <c r="M415" s="22">
        <f t="shared" si="84"/>
        <v>0</v>
      </c>
      <c r="N415" s="22">
        <f t="shared" si="84"/>
        <v>0</v>
      </c>
      <c r="O415" s="22">
        <f t="shared" si="84"/>
        <v>0</v>
      </c>
      <c r="P415" s="22">
        <f t="shared" si="84"/>
        <v>6179500</v>
      </c>
      <c r="R415" s="28"/>
    </row>
    <row r="416" spans="1:18" ht="25.5" x14ac:dyDescent="0.2">
      <c r="A416" s="96" t="s">
        <v>684</v>
      </c>
      <c r="B416" s="17"/>
      <c r="C416" s="6"/>
      <c r="D416" s="13" t="s">
        <v>0</v>
      </c>
      <c r="E416" s="22">
        <f>E417</f>
        <v>6179500</v>
      </c>
      <c r="F416" s="22">
        <f t="shared" si="84"/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</row>
    <row r="417" spans="1:18" ht="25.9" customHeight="1" x14ac:dyDescent="0.2">
      <c r="A417" s="96" t="s">
        <v>685</v>
      </c>
      <c r="B417" s="4" t="s">
        <v>235</v>
      </c>
      <c r="C417" s="4" t="s">
        <v>163</v>
      </c>
      <c r="D417" s="12" t="s">
        <v>641</v>
      </c>
      <c r="E417" s="9">
        <f>F417+I417</f>
        <v>6179500</v>
      </c>
      <c r="F417" s="10">
        <f>6169500+10000</f>
        <v>6179500</v>
      </c>
      <c r="G417" s="10">
        <f>3070100+300000+1367600+130000-123000</f>
        <v>4744700</v>
      </c>
      <c r="H417" s="10">
        <f>146100+10000</f>
        <v>156100</v>
      </c>
      <c r="I417" s="10"/>
      <c r="J417" s="9">
        <f>L417+O417</f>
        <v>0</v>
      </c>
      <c r="K417" s="10"/>
      <c r="L417" s="10"/>
      <c r="M417" s="10"/>
      <c r="N417" s="10"/>
      <c r="O417" s="10">
        <f>K417</f>
        <v>0</v>
      </c>
      <c r="P417" s="11">
        <f>E417+J417</f>
        <v>6179500</v>
      </c>
    </row>
    <row r="418" spans="1:18" ht="15" customHeight="1" x14ac:dyDescent="0.2">
      <c r="A418" s="94">
        <v>3700000</v>
      </c>
      <c r="B418" s="100"/>
      <c r="C418" s="6"/>
      <c r="D418" s="25" t="s">
        <v>119</v>
      </c>
      <c r="E418" s="22">
        <f>E419</f>
        <v>26552900</v>
      </c>
      <c r="F418" s="22">
        <f t="shared" ref="F418:O418" si="85">F419</f>
        <v>26352210</v>
      </c>
      <c r="G418" s="22">
        <f t="shared" si="85"/>
        <v>7380000</v>
      </c>
      <c r="H418" s="22">
        <f t="shared" si="85"/>
        <v>212000</v>
      </c>
      <c r="I418" s="22">
        <f t="shared" si="85"/>
        <v>0</v>
      </c>
      <c r="J418" s="22">
        <f t="shared" si="85"/>
        <v>2926211</v>
      </c>
      <c r="K418" s="22">
        <f>K419</f>
        <v>2926211</v>
      </c>
      <c r="L418" s="22">
        <f t="shared" si="85"/>
        <v>0</v>
      </c>
      <c r="M418" s="22">
        <f t="shared" si="85"/>
        <v>0</v>
      </c>
      <c r="N418" s="22">
        <f t="shared" si="85"/>
        <v>0</v>
      </c>
      <c r="O418" s="22">
        <f t="shared" si="85"/>
        <v>2926211</v>
      </c>
      <c r="P418" s="11">
        <f t="shared" si="82"/>
        <v>29479111</v>
      </c>
      <c r="R418" s="28"/>
    </row>
    <row r="419" spans="1:18" x14ac:dyDescent="0.2">
      <c r="A419" s="96" t="s">
        <v>396</v>
      </c>
      <c r="B419" s="17"/>
      <c r="C419" s="6"/>
      <c r="D419" s="13" t="s">
        <v>119</v>
      </c>
      <c r="E419" s="22">
        <f>E420+E422+E424+E421+E423</f>
        <v>26552900</v>
      </c>
      <c r="F419" s="22">
        <f t="shared" ref="F419:P419" si="86">F420+F422+F424+F421+F423</f>
        <v>26352210</v>
      </c>
      <c r="G419" s="22">
        <f t="shared" si="86"/>
        <v>7380000</v>
      </c>
      <c r="H419" s="22">
        <f t="shared" si="86"/>
        <v>212000</v>
      </c>
      <c r="I419" s="22">
        <f t="shared" si="86"/>
        <v>0</v>
      </c>
      <c r="J419" s="22">
        <f>J420+J422+J424+J421+J423</f>
        <v>2926211</v>
      </c>
      <c r="K419" s="22">
        <f>K420+K422+K424+K421+K423</f>
        <v>2926211</v>
      </c>
      <c r="L419" s="22">
        <f t="shared" si="86"/>
        <v>0</v>
      </c>
      <c r="M419" s="22">
        <f t="shared" si="86"/>
        <v>0</v>
      </c>
      <c r="N419" s="22">
        <f t="shared" si="86"/>
        <v>0</v>
      </c>
      <c r="O419" s="22">
        <f t="shared" si="86"/>
        <v>2926211</v>
      </c>
      <c r="P419" s="22">
        <f t="shared" si="86"/>
        <v>29479111</v>
      </c>
    </row>
    <row r="420" spans="1:18" ht="25.9" customHeight="1" x14ac:dyDescent="0.2">
      <c r="A420" s="96" t="s">
        <v>397</v>
      </c>
      <c r="B420" s="4" t="s">
        <v>235</v>
      </c>
      <c r="C420" s="4" t="s">
        <v>163</v>
      </c>
      <c r="D420" s="12" t="s">
        <v>641</v>
      </c>
      <c r="E420" s="9">
        <f>F420+I420</f>
        <v>10086900</v>
      </c>
      <c r="F420" s="10">
        <f>9555400+200000+20000+50000+10000+20000+200000+331500-300000</f>
        <v>10086900</v>
      </c>
      <c r="G420" s="10">
        <v>7380000</v>
      </c>
      <c r="H420" s="10">
        <f>102000+20000+50000+10000+30000</f>
        <v>212000</v>
      </c>
      <c r="I420" s="10"/>
      <c r="J420" s="9">
        <f>L420+O420</f>
        <v>266190</v>
      </c>
      <c r="K420" s="10">
        <f>4646190-10000-3750000-600000-20000</f>
        <v>266190</v>
      </c>
      <c r="L420" s="10"/>
      <c r="M420" s="10"/>
      <c r="N420" s="10"/>
      <c r="O420" s="10">
        <f>K420</f>
        <v>266190</v>
      </c>
      <c r="P420" s="11">
        <f>E420+J420</f>
        <v>10353090</v>
      </c>
    </row>
    <row r="421" spans="1:18" x14ac:dyDescent="0.2">
      <c r="A421" s="96" t="s">
        <v>547</v>
      </c>
      <c r="B421" s="4" t="s">
        <v>75</v>
      </c>
      <c r="C421" s="4" t="s">
        <v>548</v>
      </c>
      <c r="D421" s="38" t="s">
        <v>549</v>
      </c>
      <c r="E421" s="9">
        <f>F421+I421</f>
        <v>12695000</v>
      </c>
      <c r="F421" s="10">
        <f>14745000-1500000-250000-300000</f>
        <v>12695000</v>
      </c>
      <c r="G421" s="10"/>
      <c r="H421" s="10"/>
      <c r="I421" s="10"/>
      <c r="J421" s="9"/>
      <c r="K421" s="10"/>
      <c r="L421" s="10"/>
      <c r="M421" s="10"/>
      <c r="N421" s="10"/>
      <c r="O421" s="10"/>
      <c r="P421" s="11">
        <f>E421+J421</f>
        <v>12695000</v>
      </c>
    </row>
    <row r="422" spans="1:18" x14ac:dyDescent="0.2">
      <c r="A422" s="96" t="s">
        <v>676</v>
      </c>
      <c r="B422" s="17" t="s">
        <v>677</v>
      </c>
      <c r="C422" s="4" t="s">
        <v>176</v>
      </c>
      <c r="D422" s="12" t="s">
        <v>678</v>
      </c>
      <c r="E422" s="11">
        <f>3870000-145000-280000-190000-1100000+500000-2500000+45690</f>
        <v>200690</v>
      </c>
      <c r="F422" s="10"/>
      <c r="G422" s="10"/>
      <c r="H422" s="10"/>
      <c r="I422" s="10"/>
      <c r="J422" s="9">
        <f>L422+O422</f>
        <v>0</v>
      </c>
      <c r="K422" s="10"/>
      <c r="L422" s="10"/>
      <c r="M422" s="10"/>
      <c r="N422" s="10"/>
      <c r="O422" s="10">
        <f>K422</f>
        <v>0</v>
      </c>
      <c r="P422" s="11">
        <f>E422+J422</f>
        <v>200690</v>
      </c>
    </row>
    <row r="423" spans="1:18" x14ac:dyDescent="0.2">
      <c r="A423" s="96" t="s">
        <v>532</v>
      </c>
      <c r="B423" s="17" t="s">
        <v>533</v>
      </c>
      <c r="C423" s="4" t="s">
        <v>522</v>
      </c>
      <c r="D423" s="12" t="s">
        <v>534</v>
      </c>
      <c r="E423" s="22">
        <f>F423</f>
        <v>2620310</v>
      </c>
      <c r="F423" s="10">
        <f>1266000+2100000-350000+1100000-495690+900000-1900000</f>
        <v>2620310</v>
      </c>
      <c r="G423" s="10"/>
      <c r="H423" s="10"/>
      <c r="I423" s="10"/>
      <c r="J423" s="9">
        <f>L423+O423</f>
        <v>830000</v>
      </c>
      <c r="K423" s="10">
        <f>480000+350000</f>
        <v>830000</v>
      </c>
      <c r="L423" s="10"/>
      <c r="M423" s="10"/>
      <c r="N423" s="10"/>
      <c r="O423" s="10">
        <f>K423</f>
        <v>830000</v>
      </c>
      <c r="P423" s="11">
        <f>E423+J423</f>
        <v>3450310</v>
      </c>
    </row>
    <row r="424" spans="1:18" ht="25.9" customHeight="1" x14ac:dyDescent="0.2">
      <c r="A424" s="96" t="s">
        <v>523</v>
      </c>
      <c r="B424" s="17" t="s">
        <v>520</v>
      </c>
      <c r="C424" s="4" t="s">
        <v>522</v>
      </c>
      <c r="D424" s="12" t="s">
        <v>521</v>
      </c>
      <c r="E424" s="22">
        <f>F424+I424</f>
        <v>950000</v>
      </c>
      <c r="F424" s="10">
        <f>50000+700000+200000</f>
        <v>950000</v>
      </c>
      <c r="G424" s="10"/>
      <c r="H424" s="10"/>
      <c r="I424" s="10"/>
      <c r="J424" s="9">
        <f>L424+O424</f>
        <v>1830021</v>
      </c>
      <c r="K424" s="10">
        <f>1610621+109400+110000</f>
        <v>1830021</v>
      </c>
      <c r="L424" s="10"/>
      <c r="M424" s="10"/>
      <c r="N424" s="10"/>
      <c r="O424" s="10">
        <f>K424</f>
        <v>1830021</v>
      </c>
      <c r="P424" s="11">
        <f>E424+J424</f>
        <v>2780021</v>
      </c>
    </row>
    <row r="425" spans="1:18" ht="15.75" customHeight="1" x14ac:dyDescent="0.2">
      <c r="A425" s="96"/>
      <c r="B425" s="17"/>
      <c r="C425" s="72"/>
      <c r="D425" s="25" t="s">
        <v>120</v>
      </c>
      <c r="E425" s="22">
        <f t="shared" ref="E425:P425" si="87">E14+E42+E98+E156+E251+E260+E274+E293+E323+E399+E418+E415</f>
        <v>1051517366</v>
      </c>
      <c r="F425" s="22">
        <f t="shared" si="87"/>
        <v>1051316676</v>
      </c>
      <c r="G425" s="22">
        <f t="shared" si="87"/>
        <v>535529634</v>
      </c>
      <c r="H425" s="22">
        <f t="shared" si="87"/>
        <v>74875055</v>
      </c>
      <c r="I425" s="22">
        <f t="shared" si="87"/>
        <v>0</v>
      </c>
      <c r="J425" s="22">
        <f t="shared" si="87"/>
        <v>494356950</v>
      </c>
      <c r="K425" s="22">
        <f t="shared" si="87"/>
        <v>428576115</v>
      </c>
      <c r="L425" s="22">
        <f t="shared" si="87"/>
        <v>28392958</v>
      </c>
      <c r="M425" s="22">
        <f t="shared" si="87"/>
        <v>3004583</v>
      </c>
      <c r="N425" s="22">
        <f t="shared" si="87"/>
        <v>643250</v>
      </c>
      <c r="O425" s="22">
        <f t="shared" si="87"/>
        <v>465963992</v>
      </c>
      <c r="P425" s="22">
        <f t="shared" si="87"/>
        <v>1545874316</v>
      </c>
      <c r="R425" s="28"/>
    </row>
    <row r="426" spans="1:18" x14ac:dyDescent="0.2">
      <c r="P426" s="28"/>
    </row>
    <row r="427" spans="1:18" ht="19.5" customHeight="1" x14ac:dyDescent="0.2">
      <c r="D427" s="73" t="s">
        <v>629</v>
      </c>
      <c r="E427" s="73"/>
      <c r="F427" s="73"/>
      <c r="G427" s="73"/>
      <c r="H427" s="73"/>
      <c r="I427" s="73"/>
      <c r="J427" s="73"/>
      <c r="K427" s="73"/>
      <c r="O427" s="73" t="s">
        <v>630</v>
      </c>
    </row>
    <row r="428" spans="1:18" ht="25.5" customHeight="1" x14ac:dyDescent="0.25">
      <c r="D428" s="114" t="s">
        <v>636</v>
      </c>
      <c r="E428" s="115"/>
      <c r="O428" s="2" t="s">
        <v>637</v>
      </c>
    </row>
    <row r="429" spans="1:18" ht="13.9" customHeight="1" x14ac:dyDescent="0.2"/>
    <row r="430" spans="1:18" ht="12.6" hidden="1" customHeight="1" x14ac:dyDescent="0.2">
      <c r="E430" s="74">
        <v>1232679374</v>
      </c>
      <c r="F430" s="74"/>
      <c r="G430" s="74"/>
      <c r="H430" s="74"/>
      <c r="I430" s="74"/>
      <c r="J430" s="74">
        <v>209786561</v>
      </c>
      <c r="K430" s="74">
        <v>145032365</v>
      </c>
      <c r="L430" s="74"/>
      <c r="M430" s="74"/>
      <c r="N430" s="74"/>
      <c r="O430" s="74"/>
      <c r="P430" s="74">
        <v>1442465935</v>
      </c>
      <c r="Q430" s="2" t="s">
        <v>632</v>
      </c>
    </row>
    <row r="431" spans="1:18" hidden="1" x14ac:dyDescent="0.2">
      <c r="E431" s="74">
        <f>E425-E430</f>
        <v>-181162008</v>
      </c>
      <c r="F431" s="74"/>
      <c r="G431" s="74"/>
      <c r="H431" s="74"/>
      <c r="I431" s="74"/>
      <c r="J431" s="74">
        <f>J430-J425</f>
        <v>-284570389</v>
      </c>
      <c r="K431" s="74">
        <f>K430-K425</f>
        <v>-283543750</v>
      </c>
      <c r="L431" s="74"/>
      <c r="M431" s="74"/>
      <c r="N431" s="74"/>
      <c r="O431" s="74"/>
      <c r="P431" s="74">
        <f>P430-P425</f>
        <v>-103408381</v>
      </c>
      <c r="Q431" s="2" t="s">
        <v>633</v>
      </c>
    </row>
    <row r="432" spans="1:18" hidden="1" x14ac:dyDescent="0.2">
      <c r="E432" s="74">
        <v>-161962008</v>
      </c>
      <c r="F432" s="74"/>
      <c r="G432" s="74"/>
      <c r="H432" s="74"/>
      <c r="I432" s="74"/>
      <c r="J432" s="74">
        <v>283192889</v>
      </c>
      <c r="K432" s="74">
        <v>282166250</v>
      </c>
      <c r="L432" s="74"/>
      <c r="M432" s="74"/>
      <c r="N432" s="74"/>
      <c r="O432" s="74"/>
      <c r="P432" s="74">
        <v>121230881</v>
      </c>
      <c r="Q432" s="2" t="s">
        <v>634</v>
      </c>
    </row>
    <row r="433" spans="4:17" hidden="1" x14ac:dyDescent="0.2">
      <c r="E433" s="74">
        <f>E431-E432</f>
        <v>-19200000</v>
      </c>
      <c r="F433" s="74"/>
      <c r="G433" s="74"/>
      <c r="H433" s="74"/>
      <c r="I433" s="74"/>
      <c r="J433" s="74">
        <f>J431+J432</f>
        <v>-1377500</v>
      </c>
      <c r="K433" s="74">
        <f>K431+K432</f>
        <v>-1377500</v>
      </c>
      <c r="L433" s="74"/>
      <c r="M433" s="74"/>
      <c r="N433" s="74"/>
      <c r="O433" s="74"/>
      <c r="P433" s="74">
        <f>P431+P432</f>
        <v>17822500</v>
      </c>
    </row>
    <row r="434" spans="4:17" hidden="1" x14ac:dyDescent="0.2">
      <c r="E434" s="74">
        <v>19200000</v>
      </c>
      <c r="F434" s="74"/>
      <c r="G434" s="74"/>
      <c r="H434" s="74"/>
      <c r="I434" s="74"/>
      <c r="J434" s="74">
        <f>[1]Лист2!$O$21</f>
        <v>-1377500</v>
      </c>
      <c r="K434" s="74">
        <f>[1]Лист2!$P$21</f>
        <v>-1377500</v>
      </c>
      <c r="L434" s="74"/>
      <c r="M434" s="74"/>
      <c r="N434" s="74"/>
      <c r="O434" s="74"/>
      <c r="P434" s="74">
        <f>[1]Лист2!$Q$21</f>
        <v>17822500</v>
      </c>
      <c r="Q434" s="2" t="s">
        <v>635</v>
      </c>
    </row>
    <row r="435" spans="4:17" hidden="1" x14ac:dyDescent="0.2">
      <c r="E435" s="74">
        <f>E433+E434</f>
        <v>0</v>
      </c>
      <c r="F435" s="74"/>
      <c r="G435" s="74"/>
      <c r="H435" s="74"/>
      <c r="I435" s="74"/>
      <c r="J435" s="74">
        <f>J433-J434</f>
        <v>0</v>
      </c>
      <c r="K435" s="74">
        <f>K433-K434</f>
        <v>0</v>
      </c>
      <c r="L435" s="74"/>
      <c r="M435" s="74"/>
      <c r="N435" s="74"/>
      <c r="O435" s="74"/>
      <c r="P435" s="74">
        <f>P433-P434</f>
        <v>0</v>
      </c>
    </row>
    <row r="436" spans="4:17" hidden="1" x14ac:dyDescent="0.2"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4:17" hidden="1" x14ac:dyDescent="0.2">
      <c r="K437" s="74"/>
    </row>
    <row r="438" spans="4:17" hidden="1" x14ac:dyDescent="0.2">
      <c r="E438" s="2">
        <f>50000/E425*100</f>
        <v>4.7550332135931645E-3</v>
      </c>
    </row>
    <row r="439" spans="4:17" hidden="1" x14ac:dyDescent="0.2">
      <c r="E439" s="2">
        <f>E422/E425*100</f>
        <v>1.9085752312720246E-2</v>
      </c>
    </row>
    <row r="440" spans="4:17" hidden="1" x14ac:dyDescent="0.2">
      <c r="D440" s="103"/>
    </row>
    <row r="441" spans="4:17" hidden="1" x14ac:dyDescent="0.2"/>
  </sheetData>
  <mergeCells count="25">
    <mergeCell ref="D428:E428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2021-12-08T12:56:55Z</cp:lastPrinted>
  <dcterms:created xsi:type="dcterms:W3CDTF">2016-02-15T14:53:30Z</dcterms:created>
  <dcterms:modified xsi:type="dcterms:W3CDTF">2021-12-08T14:01:58Z</dcterms:modified>
</cp:coreProperties>
</file>